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1.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Dashboard" sheetId="2" state="visible" r:id="rId2"/>
    <sheet xmlns:r="http://schemas.openxmlformats.org/officeDocument/2006/relationships" name="Report" sheetId="3" state="visible" r:id="rId3"/>
    <sheet xmlns:r="http://schemas.openxmlformats.org/officeDocument/2006/relationships" name="Monthly" sheetId="4" state="visible" r:id="rId4"/>
    <sheet xmlns:r="http://schemas.openxmlformats.org/officeDocument/2006/relationships" name="Inputs" sheetId="5" state="visible" r:id="rId5"/>
    <sheet xmlns:r="http://schemas.openxmlformats.org/officeDocument/2006/relationships" name="Purchases" sheetId="6" state="visible" r:id="rId6"/>
    <sheet xmlns:r="http://schemas.openxmlformats.org/officeDocument/2006/relationships" name="Actuals" sheetId="7" state="visible" r:id="rId7"/>
    <sheet xmlns:r="http://schemas.openxmlformats.org/officeDocument/2006/relationships" name="Calc" sheetId="8" state="visible" r:id="rId8"/>
    <sheet xmlns:r="http://schemas.openxmlformats.org/officeDocument/2006/relationships" name="Checks" sheetId="9" state="visible" r:id="rId9"/>
  </sheets>
  <definedNames>
    <definedName name="Company">Inputs!$C$7</definedName>
    <definedName name="ProjectName">Inputs!$C$8</definedName>
    <definedName name="Currency">Inputs!$C$9</definedName>
    <definedName name="StartMonth">Inputs!$C$10</definedName>
    <definedName name="ActualsThrough">Inputs!$C$11</definedName>
    <definedName name="BillableDays">Inputs!$C$12</definedName>
    <definedName name="ApprovedBudget">Inputs!$C$13</definedName>
    <definedName name="BaselineAtApproval">Inputs!$C$14</definedName>
    <definedName name="AmberBelow">Inputs!$C$15</definedName>
    <definedName name="IncludePending">Inputs!$C$20</definedName>
    <definedName name="RateChange">Inputs!$C$21</definedName>
    <definedName name="ScenarioLabel">Inputs!$C$23</definedName>
    <definedName name="PhaseNames">Inputs!$B$29:$B$33</definedName>
    <definedName name="BaseStarts">Inputs!$G$29:$G$33</definedName>
    <definedName name="FcStarts">Inputs!$H$29:$H$33</definedName>
    <definedName name="BaseMonths">Inputs!$C$29:$C$33</definedName>
    <definedName name="FcMonths">Inputs!$F$29:$F$33</definedName>
    <definedName name="WhatIfMonths">Inputs!$E$29:$E$33</definedName>
    <definedName name="BaseEnd">Inputs!$C$34</definedName>
    <definedName name="FcEnd">Inputs!$F$34</definedName>
    <definedName name="BaseLaunch">Inputs!$J$35</definedName>
    <definedName name="FcLaunch">Inputs!$L$35</definedName>
    <definedName name="LaunchDelay">Inputs!$C$36</definedName>
    <definedName name="CostLines">Inputs!$B$41:$B$57</definedName>
    <definedName name="CostGroups">Inputs!$C$41:$C$57</definedName>
    <definedName name="Progress">Inputs!$C$97:$C$101</definedName>
    <definedName name="Buy_Line">Purchases!$D$7:$D$18</definedName>
    <definedName name="Buy_Base">Purchases!$G$7:$G$18</definedName>
    <definedName name="Buy_Fc">Purchases!$H$7:$H$18</definedName>
    <definedName name="Buy_Status">Purchases!$I$7:$I$18</definedName>
    <definedName name="Buy_BaseMonth">Purchases!$J$7:$J$18</definedName>
    <definedName name="Buy_FcMonth">Purchases!$K$7:$K$18</definedName>
    <definedName name="Buy_Fits">Purchases!$L$7:$L$18</definedName>
    <definedName name="Buy_Phase">Purchases!$E$7:$E$18</definedName>
    <definedName name="PendingTotal">Purchases!$G$31</definedName>
    <definedName name="CR_Status">Purchases!$D$24:$D$29</definedName>
    <definedName name="CR_Month">Purchases!$E$24:$E$29</definedName>
    <definedName name="CR_Cost">Purchases!$G$24:$G$29</definedName>
    <definedName name="CR_Ref">Purchases!$C$24:$C$29</definedName>
    <definedName name="CR_InForecast">Purchases!$H$24:$H$29</definedName>
    <definedName name="Months">Calc!$F$5:$T$5</definedName>
    <definedName name="Closed">Calc!$F$8:$T$8</definedName>
    <definedName name="BaseBudget">Report!$C$37</definedName>
    <definedName name="PlanToDate">Report!$D$37</definedName>
    <definedName name="ActualToDate">Report!$E$37</definedName>
    <definedName name="StillToSpend">Report!$G$37</definedName>
    <definedName name="Forecast">Report!$H$37</definedName>
    <definedName name="ForecastVariance">Report!$I$37</definedName>
    <definedName name="Reserve">Report!$C$44</definedName>
    <definedName name="ChangesUsed">Report!$C$45</definedName>
    <definedName name="OverrunUsed">Report!$C$46</definedName>
    <definedName name="ContingencyLeft">Report!$C$47</definedName>
    <definedName name="LeftIfPending">Report!$C$49</definedName>
    <definedName name="EarnedValue">Report!$E$60</definedName>
    <definedName name="PhaseBudgetTotal">Report!$C$60</definedName>
    <definedName name="CPI">Report!$C$62</definedName>
    <definedName name="SPI">Report!$C$63</definedName>
    <definedName name="ForecastAtCPI">Report!$C$64</definedName>
    <definedName name="CPIOverApproved">Report!$C$65</definedName>
    <definedName name="ChecksText">Checks!$C$5</definedName>
    <definedName name="ChecksFailed">Checks!$D$5</definedName>
    <definedName name="MonthOfBuild">Dashboard!$L$37</definedName>
    <definedName name="MonthsCovered">Dashboard!$L$38</definedName>
    <definedName name="_xlnm.Print_Area" localSheetId="0">'Cover'!$A$1:$F$57</definedName>
    <definedName name="_xlnm.Print_Area" localSheetId="1">'Dashboard'!$A$1:$M$44</definedName>
    <definedName name="_xlnm.Print_Titles" localSheetId="2">'Report'!$5:$6</definedName>
    <definedName name="_xlnm.Print_Area" localSheetId="2">'Report'!$A$1:$L$66</definedName>
    <definedName name="_xlnm.Print_Titles" localSheetId="3">'Monthly'!$5:$6,'Monthly'!$A:$D</definedName>
    <definedName name="_xlnm.Print_Titles" localSheetId="4">'Inputs'!$1:$3</definedName>
    <definedName name="_xlnm.Print_Titles" localSheetId="5">'Purchases'!$1:$3</definedName>
    <definedName name="_xlnm.Print_Titles" localSheetId="6">'Actuals'!$8:$8</definedName>
    <definedName name="_xlnm.Print_Titles" localSheetId="7">'Calc'!$4:$6,'Calc'!$A:$D</definedName>
  </definedNames>
  <calcPr calcId="124519" fullCalcOnLoad="1"/>
</workbook>
</file>

<file path=xl/styles.xml><?xml version="1.0" encoding="utf-8"?>
<styleSheet xmlns="http://schemas.openxmlformats.org/spreadsheetml/2006/main">
  <numFmts count="13">
    <numFmt numFmtId="164" formatCode="yyyy-mm-dd h:mm:ss"/>
    <numFmt numFmtId="165" formatCode="mmm yyyy"/>
    <numFmt numFmtId="166" formatCode="0_);(0);&quot;–&quot;_)"/>
    <numFmt numFmtId="167" formatCode="#,##0_);(#,##0);&quot;–&quot;_)"/>
    <numFmt numFmtId="168" formatCode="0%_);(0%);&quot;–&quot;_)"/>
    <numFmt numFmtId="169" formatCode="0.0%"/>
    <numFmt numFmtId="170" formatCode="0.00_);(0.00);&quot;–&quot;_)"/>
    <numFmt numFmtId="171" formatCode="0.0%_);(0.0%);&quot;–&quot;_)"/>
    <numFmt numFmtId="172" formatCode="#,##0;-#,##0;0"/>
    <numFmt numFmtId="173" formatCode="0 &quot;failed&quot;"/>
    <numFmt numFmtId="174" formatCode="&quot;$&quot;#,##0,&quot;k&quot;;-&quot;$&quot;#,##0,&quot;k&quot;;&quot;$0k&quot;"/>
    <numFmt numFmtId="175" formatCode="0.0 &quot;months&quot;_)"/>
    <numFmt numFmtId="176" formatCode="+&quot;$&quot;#,##0,&quot;k&quot;;-&quot;$&quot;#,##0,&quot;k&quot;;&quot;$0k&quot;"/>
  </numFmts>
  <fonts count="30">
    <font>
      <name val="Calibri"/>
      <family val="2"/>
      <color theme="1"/>
      <sz val="11"/>
      <scheme val="minor"/>
    </font>
    <font>
      <name val="Arial"/>
      <sz val="10"/>
    </font>
    <font>
      <name val="Arial"/>
      <b val="1"/>
      <color rgb="0017324D"/>
      <sz val="18"/>
    </font>
    <font>
      <name val="Arial"/>
      <color rgb="005F6B78"/>
      <sz val="10"/>
    </font>
    <font>
      <name val="Arial"/>
      <b val="1"/>
      <color rgb="0017324D"/>
      <sz val="11"/>
    </font>
    <font>
      <name val="Arial"/>
      <b val="1"/>
      <color rgb="005F6B78"/>
      <sz val="9"/>
    </font>
    <font>
      <name val="Arial"/>
      <color rgb="00222B36"/>
      <sz val="10"/>
    </font>
    <font>
      <name val="Arial"/>
      <color rgb="001745C9"/>
      <sz val="10"/>
    </font>
    <font>
      <name val="Arial"/>
      <color rgb="005F6B78"/>
      <sz val="9"/>
    </font>
    <font>
      <name val="Arial"/>
      <i val="1"/>
      <color rgb="005F6B78"/>
      <sz val="9"/>
    </font>
    <font>
      <name val="Arial"/>
      <b val="1"/>
      <color rgb="0017324D"/>
      <sz val="10"/>
    </font>
    <font>
      <name val="Arial"/>
      <b val="1"/>
      <color rgb="0017324D"/>
      <sz val="9"/>
    </font>
    <font>
      <name val="Arial"/>
      <b val="1"/>
      <color rgb="00222B36"/>
      <sz val="10"/>
    </font>
    <font>
      <name val="Arial"/>
      <b val="1"/>
      <color rgb="001B7A3A"/>
      <sz val="10"/>
    </font>
    <font>
      <name val="Arial"/>
      <b val="1"/>
      <color rgb="001B7A3A"/>
      <sz val="9"/>
    </font>
    <font>
      <name val="Arial"/>
      <color rgb="005F6B78"/>
      <sz val="8"/>
    </font>
    <font>
      <name val="Arial"/>
      <color rgb="00222B36"/>
      <sz val="9"/>
    </font>
    <font>
      <name val="Arial"/>
      <color rgb="001B7A3A"/>
      <sz val="10"/>
    </font>
    <font>
      <name val="Arial"/>
      <color rgb="001B7A3A"/>
      <sz val="9"/>
    </font>
    <font>
      <name val="Arial"/>
      <color rgb="001745C9"/>
      <sz val="9"/>
    </font>
    <font>
      <name val="Arial"/>
      <color rgb="001B7A3A"/>
      <sz val="8"/>
    </font>
    <font>
      <name val="Arial"/>
      <b val="1"/>
      <color rgb="0017324D"/>
      <sz val="12"/>
    </font>
    <font>
      <name val="Arial"/>
      <b val="1"/>
      <color rgb="0017324D"/>
      <sz val="20"/>
    </font>
    <font>
      <name val="Arial"/>
      <i val="1"/>
      <color rgb="005F6B78"/>
      <sz val="8"/>
    </font>
    <font>
      <name val="Arial"/>
      <b val="1"/>
      <color rgb="0017324D"/>
      <sz val="24"/>
    </font>
    <font>
      <name val="Arial"/>
      <color rgb="00222B36"/>
      <sz val="13"/>
    </font>
    <font>
      <name val="Arial"/>
      <color rgb="0017324D"/>
      <sz val="10"/>
    </font>
    <font>
      <name val="Arial"/>
      <b val="1"/>
      <color rgb="002A78D6"/>
      <sz val="10"/>
      <u val="single"/>
    </font>
    <font>
      <name val="Arial"/>
      <b val="1"/>
      <color rgb="00B4530A"/>
      <sz val="10"/>
    </font>
    <font>
      <name val="Arial"/>
      <b val="1"/>
      <color rgb="000F7B55"/>
      <sz val="10"/>
    </font>
  </fonts>
  <fills count="6">
    <fill>
      <patternFill/>
    </fill>
    <fill>
      <patternFill patternType="gray125"/>
    </fill>
    <fill>
      <patternFill patternType="solid">
        <fgColor rgb="00F3F5F8"/>
        <bgColor rgb="00F3F5F8"/>
      </patternFill>
    </fill>
    <fill>
      <patternFill patternType="solid">
        <fgColor rgb="00FFF5D1"/>
        <bgColor rgb="00FFF5D1"/>
      </patternFill>
    </fill>
    <fill>
      <patternFill patternType="solid">
        <fgColor rgb="00DDF3E8"/>
        <bgColor rgb="00DDF3E8"/>
      </patternFill>
    </fill>
    <fill>
      <patternFill patternType="solid">
        <fgColor rgb="00EAEEF3"/>
        <bgColor rgb="00EAEEF3"/>
      </patternFill>
    </fill>
  </fills>
  <borders count="17">
    <border>
      <left/>
      <right/>
      <top/>
      <bottom/>
      <diagonal/>
    </border>
    <border>
      <top style="thin">
        <color rgb="0017324D"/>
      </top>
    </border>
    <border>
      <bottom style="thin">
        <color rgb="00C9D0D8"/>
      </bottom>
    </border>
    <border>
      <left style="thin">
        <color rgb="00E6CF86"/>
      </left>
      <right style="thin">
        <color rgb="00E6CF86"/>
      </right>
      <top style="thin">
        <color rgb="00E6CF86"/>
      </top>
      <bottom style="thin">
        <color rgb="00E6CF86"/>
      </bottom>
    </border>
    <border>
      <left/>
      <right/>
      <top style="thin">
        <color rgb="00E6CF86"/>
      </top>
      <bottom/>
      <diagonal/>
    </border>
    <border>
      <left/>
      <right style="thin">
        <color rgb="00E6CF86"/>
      </right>
      <top style="thin">
        <color rgb="00E6CF86"/>
      </top>
      <bottom/>
      <diagonal/>
    </border>
    <border>
      <left/>
      <right/>
      <top style="thin">
        <color rgb="00E6CF86"/>
      </top>
      <bottom style="thin">
        <color rgb="00E6CF86"/>
      </bottom>
      <diagonal/>
    </border>
    <border>
      <left/>
      <right style="thin">
        <color rgb="00E6CF86"/>
      </right>
      <top style="thin">
        <color rgb="00E6CF86"/>
      </top>
      <bottom style="thin">
        <color rgb="00E6CF86"/>
      </bottom>
      <diagonal/>
    </border>
    <border>
      <left/>
      <right/>
      <top/>
      <bottom style="thin">
        <color rgb="00E3E7EC"/>
      </bottom>
    </border>
    <border>
      <left style="thin">
        <color rgb="00E6CF86"/>
      </left>
      <right style="thin">
        <color rgb="00E6CF86"/>
      </right>
      <top style="thin">
        <color rgb="00E6CF86"/>
      </top>
      <bottom style="thin">
        <color rgb="00E3E7EC"/>
      </bottom>
    </border>
    <border>
      <left/>
      <right/>
      <top style="thin">
        <color rgb="00E6CF86"/>
      </top>
      <bottom style="thin">
        <color rgb="00E3E7EC"/>
      </bottom>
    </border>
    <border>
      <left/>
      <right style="thin">
        <color rgb="00E6CF86"/>
      </right>
      <top style="thin">
        <color rgb="00E6CF86"/>
      </top>
      <bottom style="thin">
        <color rgb="00E3E7EC"/>
      </bottom>
    </border>
    <border>
      <bottom style="thin">
        <color rgb="0017324D"/>
      </bottom>
    </border>
    <border>
      <top style="thin">
        <color rgb="00C9D0D8"/>
      </top>
    </border>
    <border/>
    <border>
      <bottom style="thin">
        <color rgb="00E3E7EC"/>
      </bottom>
    </border>
    <border>
      <top style="double">
        <color rgb="0017324D"/>
      </top>
    </border>
  </borders>
  <cellStyleXfs count="1">
    <xf numFmtId="0" fontId="1" fillId="0" borderId="0"/>
  </cellStyleXfs>
  <cellXfs count="130">
    <xf numFmtId="0" fontId="0" fillId="0" borderId="0" pivotButton="0" quotePrefix="0" xfId="0"/>
    <xf numFmtId="0" fontId="5" fillId="0" borderId="0" applyAlignment="1" pivotButton="0" quotePrefix="0" xfId="0">
      <alignment vertical="center"/>
    </xf>
    <xf numFmtId="0" fontId="24" fillId="0" borderId="0" applyAlignment="1" pivotButton="0" quotePrefix="0" xfId="0">
      <alignment vertical="center"/>
    </xf>
    <xf numFmtId="0" fontId="25" fillId="0" borderId="0" applyAlignment="1" pivotButton="0" quotePrefix="0" xfId="0">
      <alignment vertical="center"/>
    </xf>
    <xf numFmtId="0" fontId="5" fillId="0" borderId="8" applyAlignment="1" pivotButton="0" quotePrefix="0" xfId="0">
      <alignment vertical="center"/>
    </xf>
    <xf numFmtId="0" fontId="10" fillId="0" borderId="8" applyAlignment="1" pivotButton="0" quotePrefix="0" xfId="0">
      <alignment vertical="center"/>
    </xf>
    <xf numFmtId="0" fontId="0" fillId="0" borderId="8" pivotButton="0" quotePrefix="0" xfId="0"/>
    <xf numFmtId="0" fontId="26" fillId="0" borderId="8" applyAlignment="1" pivotButton="0" quotePrefix="0" xfId="0">
      <alignment vertical="center"/>
    </xf>
    <xf numFmtId="0" fontId="4" fillId="0" borderId="12" applyAlignment="1" pivotButton="0" quotePrefix="0" xfId="0">
      <alignment vertical="center"/>
    </xf>
    <xf numFmtId="0" fontId="0" fillId="0" borderId="12" pivotButton="0" quotePrefix="0" xfId="0"/>
    <xf numFmtId="0" fontId="6" fillId="0" borderId="0" applyAlignment="1" pivotButton="0" quotePrefix="0" xfId="0">
      <alignment vertical="top" wrapText="1"/>
    </xf>
    <xf numFmtId="0" fontId="6" fillId="0" borderId="0" applyAlignment="1" pivotButton="0" quotePrefix="0" xfId="0">
      <alignment vertical="center"/>
    </xf>
    <xf numFmtId="0" fontId="27" fillId="0" borderId="8" applyAlignment="1" pivotButton="0" quotePrefix="0" xfId="0">
      <alignment vertical="center"/>
    </xf>
    <xf numFmtId="0" fontId="6" fillId="0" borderId="8" applyAlignment="1" pivotButton="0" quotePrefix="0" xfId="0">
      <alignment vertical="center"/>
    </xf>
    <xf numFmtId="0" fontId="8" fillId="0" borderId="8" applyAlignment="1" pivotButton="0" quotePrefix="0" xfId="0">
      <alignment vertical="center"/>
    </xf>
    <xf numFmtId="167" fontId="7" fillId="3" borderId="3" applyAlignment="1" pivotButton="0" quotePrefix="0" xfId="0">
      <alignment horizontal="right" vertical="center"/>
    </xf>
    <xf numFmtId="167" fontId="7" fillId="0" borderId="0" applyAlignment="1" pivotButton="0" quotePrefix="0" xfId="0">
      <alignment horizontal="right" vertical="center"/>
    </xf>
    <xf numFmtId="167" fontId="6" fillId="0" borderId="0" applyAlignment="1" pivotButton="0" quotePrefix="0" xfId="0">
      <alignment horizontal="right" vertical="center"/>
    </xf>
    <xf numFmtId="167" fontId="17" fillId="0" borderId="0" applyAlignment="1" pivotButton="0" quotePrefix="0" xfId="0">
      <alignment horizontal="right" vertical="center"/>
    </xf>
    <xf numFmtId="167" fontId="28" fillId="0" borderId="0" applyAlignment="1" pivotButton="0" quotePrefix="0" xfId="0">
      <alignment horizontal="right" vertical="center"/>
    </xf>
    <xf numFmtId="0" fontId="29" fillId="4" borderId="0" applyAlignment="1" pivotButton="0" quotePrefix="0" xfId="0">
      <alignment horizontal="center" vertical="center"/>
    </xf>
    <xf numFmtId="0" fontId="11" fillId="5" borderId="0" applyAlignment="1" pivotButton="0" quotePrefix="0" xfId="0">
      <alignment horizontal="right" vertical="center"/>
    </xf>
    <xf numFmtId="0" fontId="23" fillId="0" borderId="0" applyAlignment="1" pivotButton="0" quotePrefix="0" xfId="0">
      <alignment vertical="center"/>
    </xf>
    <xf numFmtId="0" fontId="22" fillId="0" borderId="0" applyAlignment="1" pivotButton="0" quotePrefix="0" xfId="0">
      <alignment vertical="center"/>
    </xf>
    <xf numFmtId="0" fontId="3" fillId="0" borderId="0" applyAlignment="1" pivotButton="0" quotePrefix="0" xfId="0">
      <alignment vertical="center"/>
    </xf>
    <xf numFmtId="0" fontId="4" fillId="0" borderId="0" applyAlignment="1" pivotButton="0" quotePrefix="0" xfId="0">
      <alignment vertical="center" indent="1"/>
    </xf>
    <xf numFmtId="0" fontId="0" fillId="0" borderId="0" applyAlignment="1" pivotButton="0" quotePrefix="0" xfId="0">
      <alignment vertical="center"/>
    </xf>
    <xf numFmtId="0" fontId="8" fillId="0" borderId="0" applyAlignment="1" pivotButton="0" quotePrefix="0" xfId="0">
      <alignment vertical="center"/>
    </xf>
    <xf numFmtId="0" fontId="5" fillId="2" borderId="0" applyAlignment="1" pivotButton="0" quotePrefix="0" xfId="0">
      <alignment vertical="center" indent="1"/>
    </xf>
    <xf numFmtId="174" fontId="22" fillId="2" borderId="0" applyAlignment="1" pivotButton="0" quotePrefix="0" xfId="0">
      <alignment horizontal="left" vertical="center" indent="1"/>
    </xf>
    <xf numFmtId="165" fontId="22" fillId="2" borderId="0" applyAlignment="1" pivotButton="0" quotePrefix="0" xfId="0">
      <alignment horizontal="left" vertical="center" indent="1"/>
    </xf>
    <xf numFmtId="2" fontId="22" fillId="2" borderId="0" applyAlignment="1" pivotButton="0" quotePrefix="0" xfId="0">
      <alignment horizontal="left" vertical="center" indent="1"/>
    </xf>
    <xf numFmtId="0" fontId="15" fillId="2" borderId="0" applyAlignment="1" pivotButton="0" quotePrefix="0" xfId="0">
      <alignment horizontal="left" vertical="top" wrapText="1" indent="1"/>
    </xf>
    <xf numFmtId="0" fontId="21" fillId="0" borderId="0" applyAlignment="1" pivotButton="0" quotePrefix="0" xfId="0">
      <alignment vertical="center"/>
    </xf>
    <xf numFmtId="0" fontId="6" fillId="0" borderId="15" applyAlignment="1" pivotButton="0" quotePrefix="0" xfId="0">
      <alignment vertical="center"/>
    </xf>
    <xf numFmtId="0" fontId="0" fillId="0" borderId="15" pivotButton="0" quotePrefix="0" xfId="0"/>
    <xf numFmtId="174" fontId="4" fillId="0" borderId="15" applyAlignment="1" pivotButton="0" quotePrefix="0" xfId="0">
      <alignment horizontal="right" vertical="center"/>
    </xf>
    <xf numFmtId="175" fontId="4" fillId="0" borderId="15" applyAlignment="1" pivotButton="0" quotePrefix="0" xfId="0">
      <alignment horizontal="right" vertical="center"/>
    </xf>
    <xf numFmtId="176" fontId="4" fillId="0" borderId="15" applyAlignment="1" pivotButton="0" quotePrefix="0" xfId="0">
      <alignment horizontal="right" vertical="center"/>
    </xf>
    <xf numFmtId="0" fontId="4" fillId="2" borderId="1" applyAlignment="1" pivotButton="0" quotePrefix="0" xfId="0">
      <alignment vertical="center"/>
    </xf>
    <xf numFmtId="0" fontId="0" fillId="2" borderId="1" pivotButton="0" quotePrefix="0" xfId="0"/>
    <xf numFmtId="0" fontId="9" fillId="0" borderId="0" applyAlignment="1" pivotButton="0" quotePrefix="0" xfId="0">
      <alignment vertical="center"/>
    </xf>
    <xf numFmtId="0" fontId="10" fillId="0" borderId="0" applyAlignment="1" pivotButton="0" quotePrefix="0" xfId="0">
      <alignment vertical="center"/>
    </xf>
    <xf numFmtId="0" fontId="16" fillId="0" borderId="0" applyAlignment="1" pivotButton="0" quotePrefix="0" xfId="0">
      <alignment vertical="center"/>
    </xf>
    <xf numFmtId="1" fontId="16" fillId="0" borderId="0" applyAlignment="1" pivotButton="0" quotePrefix="0" xfId="0">
      <alignment horizontal="right" vertical="center"/>
    </xf>
    <xf numFmtId="0" fontId="5" fillId="0" borderId="0" applyAlignment="1" pivotButton="0" quotePrefix="0" xfId="0">
      <alignment horizontal="right" vertical="center"/>
    </xf>
    <xf numFmtId="167" fontId="16" fillId="0" borderId="0" applyAlignment="1" pivotButton="0" quotePrefix="0" xfId="0">
      <alignment horizontal="right" vertical="center"/>
    </xf>
    <xf numFmtId="1" fontId="8" fillId="0" borderId="0" applyAlignment="1" pivotButton="0" quotePrefix="0" xfId="0">
      <alignment horizontal="right" vertical="center"/>
    </xf>
    <xf numFmtId="167" fontId="8" fillId="0" borderId="0" applyAlignment="1" pivotButton="0" quotePrefix="0" xfId="0">
      <alignment horizontal="right" vertical="center"/>
    </xf>
    <xf numFmtId="0" fontId="2" fillId="0" borderId="0" applyAlignment="1" pivotButton="0" quotePrefix="0" xfId="0">
      <alignment vertical="center"/>
    </xf>
    <xf numFmtId="0" fontId="11" fillId="0" borderId="12" applyAlignment="1" pivotButton="0" quotePrefix="0" xfId="0">
      <alignment horizontal="centerContinuous"/>
    </xf>
    <xf numFmtId="0" fontId="0" fillId="0" borderId="12" applyAlignment="1" pivotButton="0" quotePrefix="0" xfId="0">
      <alignment horizontal="centerContinuous"/>
    </xf>
    <xf numFmtId="0" fontId="11" fillId="0" borderId="12" applyAlignment="1" pivotButton="0" quotePrefix="0" xfId="0">
      <alignment vertical="center"/>
    </xf>
    <xf numFmtId="0" fontId="5" fillId="0" borderId="2" applyAlignment="1" pivotButton="0" quotePrefix="0" xfId="0">
      <alignment horizontal="left" vertical="bottom" wrapText="1"/>
    </xf>
    <xf numFmtId="0" fontId="5" fillId="0" borderId="2" applyAlignment="1" pivotButton="0" quotePrefix="0" xfId="0">
      <alignment horizontal="right" vertical="bottom" wrapText="1"/>
    </xf>
    <xf numFmtId="0" fontId="5" fillId="0" borderId="14" applyAlignment="1" pivotButton="0" quotePrefix="0" xfId="0">
      <alignment horizontal="right" vertical="bottom" wrapText="1"/>
    </xf>
    <xf numFmtId="0" fontId="6" fillId="0" borderId="8" applyAlignment="1" pivotButton="0" quotePrefix="0" xfId="0">
      <alignment vertical="center" indent="1"/>
    </xf>
    <xf numFmtId="167" fontId="6" fillId="0" borderId="8" applyAlignment="1" pivotButton="0" quotePrefix="0" xfId="0">
      <alignment horizontal="right" vertical="center"/>
    </xf>
    <xf numFmtId="171" fontId="6" fillId="0" borderId="8" applyAlignment="1" pivotButton="0" quotePrefix="0" xfId="0">
      <alignment horizontal="right" vertical="center"/>
    </xf>
    <xf numFmtId="0" fontId="19" fillId="0" borderId="15" applyAlignment="1" applyProtection="1" pivotButton="0" quotePrefix="0" xfId="0">
      <alignment vertical="center"/>
      <protection locked="0" hidden="0"/>
    </xf>
    <xf numFmtId="0" fontId="10" fillId="0" borderId="13" applyAlignment="1" pivotButton="0" quotePrefix="0" xfId="0">
      <alignment vertical="center"/>
    </xf>
    <xf numFmtId="167" fontId="10" fillId="0" borderId="13" applyAlignment="1" pivotButton="0" quotePrefix="0" xfId="0">
      <alignment horizontal="right" vertical="center"/>
    </xf>
    <xf numFmtId="171" fontId="10" fillId="0" borderId="13" applyAlignment="1" pivotButton="0" quotePrefix="0" xfId="0">
      <alignment horizontal="right" vertical="center"/>
    </xf>
    <xf numFmtId="0" fontId="4" fillId="0" borderId="16" applyAlignment="1" pivotButton="0" quotePrefix="0" xfId="0">
      <alignment vertical="center"/>
    </xf>
    <xf numFmtId="167" fontId="4" fillId="0" borderId="16" applyAlignment="1" pivotButton="0" quotePrefix="0" xfId="0">
      <alignment horizontal="right" vertical="center"/>
    </xf>
    <xf numFmtId="171" fontId="4" fillId="0" borderId="16" applyAlignment="1" pivotButton="0" quotePrefix="0" xfId="0">
      <alignment horizontal="right" vertical="center"/>
    </xf>
    <xf numFmtId="168" fontId="6" fillId="0" borderId="8" applyAlignment="1" pivotButton="0" quotePrefix="0" xfId="0">
      <alignment horizontal="right" vertical="center"/>
    </xf>
    <xf numFmtId="168" fontId="10" fillId="0" borderId="13" applyAlignment="1" pivotButton="0" quotePrefix="0" xfId="0">
      <alignment horizontal="right" vertical="center"/>
    </xf>
    <xf numFmtId="2" fontId="10" fillId="0" borderId="8" applyAlignment="1" pivotButton="0" quotePrefix="0" xfId="0">
      <alignment horizontal="right" vertical="center"/>
    </xf>
    <xf numFmtId="167" fontId="10" fillId="0" borderId="8" applyAlignment="1" pivotButton="0" quotePrefix="0" xfId="0">
      <alignment horizontal="right" vertical="center"/>
    </xf>
    <xf numFmtId="0" fontId="11" fillId="0" borderId="0" applyAlignment="1" pivotButton="0" quotePrefix="0" xfId="0">
      <alignment vertical="center"/>
    </xf>
    <xf numFmtId="0" fontId="11" fillId="0" borderId="0" applyAlignment="1" pivotButton="0" quotePrefix="0" xfId="0">
      <alignment horizontal="right" vertical="center"/>
    </xf>
    <xf numFmtId="17" fontId="11" fillId="0" borderId="0" applyAlignment="1" pivotButton="0" quotePrefix="0" xfId="0">
      <alignment horizontal="right" vertical="center"/>
    </xf>
    <xf numFmtId="0" fontId="0" fillId="0" borderId="2" pivotButton="0" quotePrefix="0" xfId="0"/>
    <xf numFmtId="0" fontId="15" fillId="0" borderId="2" applyAlignment="1" pivotButton="0" quotePrefix="0" xfId="0">
      <alignment horizontal="right" vertical="center"/>
    </xf>
    <xf numFmtId="0" fontId="4" fillId="0" borderId="13" pivotButton="0" quotePrefix="0" xfId="0"/>
    <xf numFmtId="167" fontId="17" fillId="0" borderId="8" applyAlignment="1" pivotButton="0" quotePrefix="0" xfId="0">
      <alignment horizontal="right" vertical="center"/>
    </xf>
    <xf numFmtId="0" fontId="7" fillId="3" borderId="9" applyAlignment="1" applyProtection="1" pivotButton="0" quotePrefix="0" xfId="0">
      <alignment horizontal="left" vertical="center"/>
      <protection locked="0" hidden="0"/>
    </xf>
    <xf numFmtId="0" fontId="0" fillId="0" borderId="10" applyProtection="1" pivotButton="0" quotePrefix="0" xfId="0">
      <protection locked="0" hidden="0"/>
    </xf>
    <xf numFmtId="0" fontId="0" fillId="0" borderId="11" applyProtection="1" pivotButton="0" quotePrefix="0" xfId="0">
      <protection locked="0" hidden="0"/>
    </xf>
    <xf numFmtId="165" fontId="7" fillId="3" borderId="9" applyAlignment="1" applyProtection="1" pivotButton="0" quotePrefix="0" xfId="0">
      <alignment horizontal="right" vertical="center"/>
      <protection locked="0" hidden="0"/>
    </xf>
    <xf numFmtId="166" fontId="7" fillId="3" borderId="9" applyAlignment="1" applyProtection="1" pivotButton="0" quotePrefix="0" xfId="0">
      <alignment horizontal="right" vertical="center"/>
      <protection locked="0" hidden="0"/>
    </xf>
    <xf numFmtId="167" fontId="7" fillId="3" borderId="9" applyAlignment="1" applyProtection="1" pivotButton="0" quotePrefix="0" xfId="0">
      <alignment horizontal="right" vertical="center"/>
      <protection locked="0" hidden="0"/>
    </xf>
    <xf numFmtId="168" fontId="7" fillId="3" borderId="9" applyAlignment="1" applyProtection="1" pivotButton="0" quotePrefix="0" xfId="0">
      <alignment horizontal="right" vertical="center"/>
      <protection locked="0" hidden="0"/>
    </xf>
    <xf numFmtId="0" fontId="7" fillId="3" borderId="9" applyAlignment="1" applyProtection="1" pivotButton="0" quotePrefix="0" xfId="0">
      <alignment horizontal="right" vertical="center"/>
      <protection locked="0" hidden="0"/>
    </xf>
    <xf numFmtId="169" fontId="7" fillId="3" borderId="9" applyAlignment="1" applyProtection="1" pivotButton="0" quotePrefix="0" xfId="0">
      <alignment horizontal="right" vertical="center"/>
      <protection locked="0" hidden="0"/>
    </xf>
    <xf numFmtId="1" fontId="6" fillId="0" borderId="8" applyAlignment="1" pivotButton="0" quotePrefix="0" xfId="0">
      <alignment horizontal="right" vertical="center"/>
    </xf>
    <xf numFmtId="1" fontId="7" fillId="3" borderId="9" applyAlignment="1" applyProtection="1" pivotButton="0" quotePrefix="0" xfId="0">
      <alignment horizontal="right" vertical="center"/>
      <protection locked="0" hidden="0"/>
    </xf>
    <xf numFmtId="166" fontId="6" fillId="0" borderId="8" applyAlignment="1" pivotButton="0" quotePrefix="0" xfId="0">
      <alignment horizontal="right" vertical="center"/>
    </xf>
    <xf numFmtId="165" fontId="6" fillId="0" borderId="8" applyAlignment="1" pivotButton="0" quotePrefix="0" xfId="0">
      <alignment horizontal="right" vertical="center"/>
    </xf>
    <xf numFmtId="166" fontId="12" fillId="0" borderId="13" applyAlignment="1" pivotButton="0" quotePrefix="0" xfId="0">
      <alignment horizontal="right" vertical="center"/>
    </xf>
    <xf numFmtId="165" fontId="12" fillId="0" borderId="13" applyAlignment="1" pivotButton="0" quotePrefix="0" xfId="0">
      <alignment horizontal="right" vertical="center"/>
    </xf>
    <xf numFmtId="165" fontId="10" fillId="0" borderId="0" applyAlignment="1" pivotButton="0" quotePrefix="0" xfId="0">
      <alignment horizontal="right" vertical="center"/>
    </xf>
    <xf numFmtId="1" fontId="6" fillId="0" borderId="0" applyAlignment="1" pivotButton="0" quotePrefix="0" xfId="0">
      <alignment horizontal="right" vertical="center"/>
    </xf>
    <xf numFmtId="0" fontId="7" fillId="0" borderId="8" applyAlignment="1" applyProtection="1" pivotButton="0" quotePrefix="0" xfId="0">
      <alignment vertical="center"/>
      <protection locked="0" hidden="0"/>
    </xf>
    <xf numFmtId="0" fontId="5" fillId="0" borderId="2" applyAlignment="1" pivotButton="0" quotePrefix="0" xfId="0">
      <alignment horizontal="left" vertical="bottom" indent="1"/>
    </xf>
    <xf numFmtId="0" fontId="7" fillId="3" borderId="9" applyAlignment="1" applyProtection="1" pivotButton="0" quotePrefix="0" xfId="0">
      <alignment vertical="center"/>
      <protection locked="0" hidden="0"/>
    </xf>
    <xf numFmtId="0" fontId="8" fillId="0" borderId="8" applyAlignment="1" pivotButton="0" quotePrefix="0" xfId="0">
      <alignment vertical="center" indent="1"/>
    </xf>
    <xf numFmtId="0" fontId="11" fillId="0" borderId="0" applyAlignment="1" pivotButton="0" quotePrefix="0" xfId="0">
      <alignment horizontal="centerContinuous"/>
    </xf>
    <xf numFmtId="0" fontId="0" fillId="0" borderId="0" applyAlignment="1" pivotButton="0" quotePrefix="0" xfId="0">
      <alignment horizontal="centerContinuous"/>
    </xf>
    <xf numFmtId="170" fontId="7" fillId="3" borderId="9" applyAlignment="1" applyProtection="1" pivotButton="0" quotePrefix="0" xfId="0">
      <alignment horizontal="right" vertical="center"/>
      <protection locked="0" hidden="0"/>
    </xf>
    <xf numFmtId="170" fontId="12" fillId="0" borderId="13" applyAlignment="1" pivotButton="0" quotePrefix="0" xfId="0">
      <alignment horizontal="right" vertical="center"/>
    </xf>
    <xf numFmtId="167" fontId="12" fillId="0" borderId="13" applyAlignment="1" pivotButton="0" quotePrefix="0" xfId="0">
      <alignment horizontal="right" vertical="center"/>
    </xf>
    <xf numFmtId="9" fontId="7" fillId="3" borderId="9" applyAlignment="1" applyProtection="1" pivotButton="0" quotePrefix="0" xfId="0">
      <alignment horizontal="right" vertical="center"/>
      <protection locked="0" hidden="0"/>
    </xf>
    <xf numFmtId="0" fontId="5" fillId="0" borderId="2" applyAlignment="1" pivotButton="0" quotePrefix="0" xfId="0">
      <alignment horizontal="left" vertical="bottom" wrapText="1" indent="1"/>
    </xf>
    <xf numFmtId="166" fontId="10" fillId="0" borderId="0" applyAlignment="1" pivotButton="0" quotePrefix="0" xfId="0">
      <alignment horizontal="left" vertical="center"/>
    </xf>
    <xf numFmtId="0" fontId="8" fillId="0" borderId="0" applyAlignment="1" pivotButton="0" quotePrefix="0" xfId="0">
      <alignment horizontal="right" vertical="center"/>
    </xf>
    <xf numFmtId="37" fontId="10" fillId="0" borderId="0" applyAlignment="1" pivotButton="0" quotePrefix="0" xfId="0">
      <alignment horizontal="left" vertical="center"/>
    </xf>
    <xf numFmtId="165" fontId="13" fillId="0" borderId="0" applyAlignment="1" pivotButton="0" quotePrefix="0" xfId="0">
      <alignment horizontal="right" vertical="center"/>
    </xf>
    <xf numFmtId="165" fontId="10" fillId="0" borderId="0" applyAlignment="1" pivotButton="0" quotePrefix="0" xfId="0">
      <alignment horizontal="left" vertical="center"/>
    </xf>
    <xf numFmtId="0" fontId="8" fillId="0" borderId="0" applyAlignment="1" pivotButton="0" quotePrefix="0" xfId="0">
      <alignment horizontal="left" vertical="center"/>
    </xf>
    <xf numFmtId="0" fontId="11" fillId="2" borderId="2" applyAlignment="1" pivotButton="0" quotePrefix="0" xfId="0">
      <alignment horizontal="left" vertical="bottom" wrapText="1"/>
    </xf>
    <xf numFmtId="0" fontId="11" fillId="2" borderId="2" applyAlignment="1" pivotButton="0" quotePrefix="0" xfId="0">
      <alignment horizontal="right" vertical="bottom" wrapText="1"/>
    </xf>
    <xf numFmtId="165" fontId="7" fillId="0" borderId="15" applyAlignment="1" applyProtection="1" pivotButton="0" quotePrefix="0" xfId="0">
      <alignment horizontal="left" vertical="center"/>
      <protection locked="0" hidden="0"/>
    </xf>
    <xf numFmtId="0" fontId="7" fillId="0" borderId="15" applyAlignment="1" applyProtection="1" pivotButton="0" quotePrefix="0" xfId="0">
      <alignment vertical="center"/>
      <protection locked="0" hidden="0"/>
    </xf>
    <xf numFmtId="167" fontId="7" fillId="0" borderId="15" applyAlignment="1" applyProtection="1" pivotButton="0" quotePrefix="0" xfId="0">
      <alignment horizontal="right" vertical="center"/>
      <protection locked="0" hidden="0"/>
    </xf>
    <xf numFmtId="17" fontId="14" fillId="0" borderId="0" applyAlignment="1" pivotButton="0" quotePrefix="0" xfId="0">
      <alignment horizontal="right" vertical="center"/>
    </xf>
    <xf numFmtId="0" fontId="8" fillId="0" borderId="2" applyAlignment="1" pivotButton="0" quotePrefix="0" xfId="0">
      <alignment vertical="center"/>
    </xf>
    <xf numFmtId="0" fontId="16" fillId="0" borderId="8" applyAlignment="1" pivotButton="0" quotePrefix="0" xfId="0">
      <alignment horizontal="right" vertical="center"/>
    </xf>
    <xf numFmtId="0" fontId="17" fillId="0" borderId="8" applyAlignment="1" pivotButton="0" quotePrefix="0" xfId="0">
      <alignment vertical="center"/>
    </xf>
    <xf numFmtId="170" fontId="10" fillId="0" borderId="8" applyAlignment="1" pivotButton="0" quotePrefix="0" xfId="0">
      <alignment horizontal="right" vertical="center"/>
    </xf>
    <xf numFmtId="170" fontId="6" fillId="0" borderId="8" applyAlignment="1" pivotButton="0" quotePrefix="0" xfId="0">
      <alignment horizontal="right" vertical="center"/>
    </xf>
    <xf numFmtId="170" fontId="10" fillId="0" borderId="13" applyAlignment="1" pivotButton="0" quotePrefix="0" xfId="0">
      <alignment horizontal="right" vertical="center"/>
    </xf>
    <xf numFmtId="0" fontId="18" fillId="0" borderId="8" applyAlignment="1" pivotButton="0" quotePrefix="0" xfId="0">
      <alignment vertical="center"/>
    </xf>
    <xf numFmtId="167" fontId="3" fillId="0" borderId="8" applyAlignment="1" pivotButton="0" quotePrefix="0" xfId="0">
      <alignment horizontal="right" vertical="center"/>
    </xf>
    <xf numFmtId="173" fontId="8" fillId="0" borderId="0" applyAlignment="1" pivotButton="0" quotePrefix="0" xfId="0">
      <alignment horizontal="right" vertical="center"/>
    </xf>
    <xf numFmtId="0" fontId="5" fillId="0" borderId="2" applyAlignment="1" pivotButton="0" quotePrefix="0" xfId="0">
      <alignment horizontal="center" vertical="bottom" wrapText="1"/>
    </xf>
    <xf numFmtId="1" fontId="3" fillId="0" borderId="8" applyAlignment="1" pivotButton="0" quotePrefix="0" xfId="0">
      <alignment horizontal="left" vertical="center"/>
    </xf>
    <xf numFmtId="172" fontId="17" fillId="0" borderId="8" applyAlignment="1" pivotButton="0" quotePrefix="0" xfId="0">
      <alignment horizontal="right" vertical="center"/>
    </xf>
    <xf numFmtId="0" fontId="12" fillId="0" borderId="8" applyAlignment="1" pivotButton="0" quotePrefix="0" xfId="0">
      <alignment horizontal="center" vertical="center"/>
    </xf>
  </cellXfs>
  <cellStyles count="1">
    <cellStyle name="Normal" xfId="0" builtinId="0" hidden="0"/>
  </cellStyles>
  <dxfs count="14">
    <dxf>
      <font>
        <color rgb="00B42318"/>
      </font>
    </dxf>
    <dxf>
      <font>
        <color rgb="000F7B55"/>
      </font>
    </dxf>
    <dxf>
      <font>
        <color rgb="00B4530A"/>
      </font>
    </dxf>
    <dxf>
      <font>
        <color rgb="000F7B55"/>
      </font>
      <fill>
        <patternFill patternType="solid">
          <fgColor rgb="00DDF3E8"/>
          <bgColor rgb="00DDF3E8"/>
        </patternFill>
      </fill>
    </dxf>
    <dxf>
      <font>
        <color rgb="008A5A00"/>
      </font>
      <fill>
        <patternFill patternType="solid">
          <fgColor rgb="00FCEFC9"/>
          <bgColor rgb="00FCEFC9"/>
        </patternFill>
      </fill>
    </dxf>
    <dxf>
      <font>
        <color rgb="00B42318"/>
      </font>
      <fill>
        <patternFill patternType="solid">
          <fgColor rgb="00FBE1DE"/>
          <bgColor rgb="00FBE1DE"/>
        </patternFill>
      </fill>
    </dxf>
    <dxf>
      <font>
        <b val="1"/>
        <color rgb="00B42318"/>
      </font>
    </dxf>
    <dxf>
      <fill>
        <patternFill patternType="solid">
          <fgColor rgb="00EAEEF3"/>
          <bgColor rgb="00EAEEF3"/>
        </patternFill>
      </fill>
    </dxf>
    <dxf>
      <fill>
        <patternFill patternType="solid">
          <fgColor rgb="00F7F8FA"/>
          <bgColor rgb="00F7F8FA"/>
        </patternFill>
      </fill>
    </dxf>
    <dxf>
      <font>
        <b val="1"/>
        <color rgb="00B4530A"/>
      </font>
    </dxf>
    <dxf>
      <font>
        <color rgb="005F6B78"/>
      </font>
    </dxf>
    <dxf>
      <font>
        <strike val="1"/>
        <color rgb="0098A2AE"/>
      </font>
    </dxf>
    <dxf>
      <font>
        <b val="1"/>
        <color rgb="0017324D"/>
      </font>
    </dxf>
    <dxf>
      <font>
        <i val="1"/>
        <color rgb="0098A2A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roundedCorners val="0"/>
  <chart>
    <plotArea>
      <barChart>
        <barDir val="col"/>
        <grouping val="clustered"/>
        <ser>
          <idx val="0"/>
          <order val="0"/>
          <tx>
            <v>Forecast months</v>
          </tx>
          <spPr>
            <a:solidFill xmlns:a="http://schemas.openxmlformats.org/drawingml/2006/main">
              <a:srgbClr val="EDF1F6"/>
            </a:solidFill>
            <a:ln xmlns:a="http://schemas.openxmlformats.org/drawingml/2006/main">
              <a:noFill/>
              <a:prstDash val="solid"/>
            </a:ln>
          </spPr>
          <cat>
            <numRef>
              <f>'Monthly'!$F$5:$T$5</f>
            </numRef>
          </cat>
          <val>
            <numRef>
              <f>'Monthly'!$F$29:$T$29</f>
            </numRef>
          </val>
        </ser>
        <gapWidth val="0"/>
        <axId val="10"/>
        <axId val="100"/>
      </barChart>
      <lineChart>
        <grouping val="standard"/>
        <ser>
          <idx val="1"/>
          <order val="1"/>
          <tx>
            <v>Baseline plan</v>
          </tx>
          <spPr>
            <a:ln xmlns:a="http://schemas.openxmlformats.org/drawingml/2006/main" w="25400">
              <a:solidFill>
                <a:srgbClr val="8C97A3"/>
              </a:solidFill>
              <a:prstDash val="solid"/>
            </a:ln>
          </spPr>
          <marker>
            <symbol val="none"/>
            <spPr>
              <a:ln xmlns:a="http://schemas.openxmlformats.org/drawingml/2006/main">
                <a:prstDash val="solid"/>
              </a:ln>
            </spPr>
          </marker>
          <cat>
            <numRef>
              <f>'Monthly'!$F$5:$T$5</f>
            </numRef>
          </cat>
          <val>
            <numRef>
              <f>'Monthly'!$F$26:$T$26</f>
            </numRef>
          </val>
          <smooth val="0"/>
        </ser>
        <ser>
          <idx val="2"/>
          <order val="2"/>
          <tx>
            <v>Actual + forecast</v>
          </tx>
          <spPr>
            <a:ln xmlns:a="http://schemas.openxmlformats.org/drawingml/2006/main" w="31750">
              <a:solidFill>
                <a:srgbClr val="2A78D6"/>
              </a:solidFill>
              <a:prstDash val="solid"/>
            </a:ln>
          </spPr>
          <marker>
            <symbol val="none"/>
            <spPr>
              <a:ln xmlns:a="http://schemas.openxmlformats.org/drawingml/2006/main">
                <a:prstDash val="solid"/>
              </a:ln>
            </spPr>
          </marker>
          <cat>
            <numRef>
              <f>'Monthly'!$F$5:$T$5</f>
            </numRef>
          </cat>
          <val>
            <numRef>
              <f>'Monthly'!$F$27:$T$27</f>
            </numRef>
          </val>
          <smooth val="0"/>
        </ser>
        <ser>
          <idx val="3"/>
          <order val="3"/>
          <tx>
            <v>Approved budget</v>
          </tx>
          <spPr>
            <a:ln xmlns:a="http://schemas.openxmlformats.org/drawingml/2006/main" w="15875">
              <a:solidFill>
                <a:srgbClr val="4A5562"/>
              </a:solidFill>
              <a:prstDash val="dash"/>
            </a:ln>
          </spPr>
          <marker>
            <symbol val="none"/>
            <spPr>
              <a:ln xmlns:a="http://schemas.openxmlformats.org/drawingml/2006/main">
                <a:prstDash val="solid"/>
              </a:ln>
            </spPr>
          </marker>
          <cat>
            <numRef>
              <f>'Monthly'!$F$5:$T$5</f>
            </numRef>
          </cat>
          <val>
            <numRef>
              <f>'Monthly'!$F$28:$T$28</f>
            </numRef>
          </val>
          <smooth val="0"/>
        </ser>
        <axId val="10"/>
        <axId val="100"/>
      </lineChart>
      <catAx>
        <axId val="10"/>
        <scaling>
          <orientation val="minMax"/>
        </scaling>
        <delete val="0"/>
        <axPos val="l"/>
        <numFmt formatCode="mmm yy" sourceLinked="0"/>
        <majorTickMark val="none"/>
        <minorTickMark val="none"/>
        <spPr>
          <a:ln xmlns:a="http://schemas.openxmlformats.org/drawingml/2006/main" w="9525">
            <a:solidFill>
              <a:srgbClr val="C9D0D8"/>
            </a:solid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0"/>
        <lblOffset val="100"/>
        <tickLblSkip val="1"/>
      </catAx>
      <valAx>
        <axId val="100"/>
        <scaling>
          <orientation val="minMax"/>
          <min val="0"/>
        </scaling>
        <delete val="0"/>
        <axPos val="l"/>
        <majorGridlines>
          <spPr>
            <a:ln xmlns:a="http://schemas.openxmlformats.org/drawingml/2006/main" w="9525">
              <a:solidFill>
                <a:srgbClr val="E3E7EC"/>
              </a:solidFill>
              <a:prstDash val="solid"/>
            </a:ln>
          </spPr>
        </majorGridlines>
        <numFmt formatCode="$0.0,,&quot;M&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
      </valAx>
      <spPr>
        <a:noFill xmlns:a="http://schemas.openxmlformats.org/drawingml/2006/main"/>
        <a:ln xmlns:a="http://schemas.openxmlformats.org/drawingml/2006/main">
          <a:noFill/>
          <a:prstDash val="solid"/>
        </a:ln>
      </spPr>
    </plotArea>
    <legend>
      <legendPos val="t"/>
      <overlay val="0"/>
      <txPr>
        <a:bodyPr xmlns:a="http://schemas.openxmlformats.org/drawingml/2006/main"/>
        <a:p xmlns:a="http://schemas.openxmlformats.org/drawingml/2006/main">
          <a:pPr>
            <a:defRPr sz="900" b="0">
              <a:solidFill>
                <a:srgbClr val="222B36"/>
              </a:solidFill>
              <a:latin typeface="Arial"/>
            </a:defRPr>
          </a:pPr>
          <a:r>
            <a:t/>
          </a:r>
          <a:endParaRPr sz="900" b="0">
            <a:solidFill>
              <a:srgbClr val="222B36"/>
            </a:solidFill>
            <a:latin typeface="Arial"/>
          </a:endParaRPr>
        </a:p>
      </txPr>
    </legend>
    <plotVisOnly val="1"/>
    <dispBlanksAs val="gap"/>
  </chart>
  <spPr>
    <a:ln xmlns:a="http://schemas.openxmlformats.org/drawingml/2006/main">
      <a:noFill/>
      <a:prstDash val="solid"/>
    </a:ln>
  </spPr>
</chartSpace>
</file>

<file path=xl/charts/chart2.xml><?xml version="1.0" encoding="utf-8"?>
<chartSpace xmlns="http://schemas.openxmlformats.org/drawingml/2006/chart">
  <roundedCorners val="0"/>
  <chart>
    <plotArea>
      <barChart>
        <barDir val="bar"/>
        <grouping val="clustered"/>
        <ser>
          <idx val="0"/>
          <order val="0"/>
          <tx>
            <v>Over budget</v>
          </tx>
          <spPr>
            <a:solidFill xmlns:a="http://schemas.openxmlformats.org/drawingml/2006/main">
              <a:srgbClr val="C23B3B"/>
            </a:solidFill>
            <a:ln xmlns:a="http://schemas.openxmlformats.org/drawingml/2006/main">
              <a:noFill/>
              <a:prstDash val="solid"/>
            </a:ln>
          </spPr>
          <dLbls>
            <numFmt formatCode="+&quot;$&quot;#,##0.0,&quot;k&quot;;-&quot;$&quot;#,##0.0,&quot;k&quot;;;" sourceLinked="0"/>
            <txPr>
              <a:bodyPr xmlns:a="http://schemas.openxmlformats.org/drawingml/2006/main"/>
              <a:p xmlns:a="http://schemas.openxmlformats.org/drawingml/2006/main">
                <a:pPr>
                  <a:defRPr sz="900" b="1">
                    <a:solidFill>
                      <a:srgbClr val="222B36"/>
                    </a:solidFill>
                    <a:latin typeface="Arial"/>
                  </a:defRPr>
                </a:pPr>
                <a:r>
                  <a:t/>
                </a:r>
                <a:endParaRPr sz="900" b="1">
                  <a:solidFill>
                    <a:srgbClr val="222B36"/>
                  </a:solidFill>
                  <a:latin typeface="Arial"/>
                </a:endParaRPr>
              </a:p>
            </txPr>
            <dLblPos val="outEnd"/>
            <showLegendKey val="0"/>
            <showVal val="1"/>
            <showCatName val="0"/>
            <showSerName val="0"/>
            <showPercent val="0"/>
          </dLbls>
          <cat>
            <strRef>
              <f>'Dashboard'!$H$51:$H$57</f>
            </strRef>
          </cat>
          <val>
            <numRef>
              <f>'Dashboard'!$L$51:$L$57</f>
            </numRef>
          </val>
        </ser>
        <ser>
          <idx val="1"/>
          <order val="1"/>
          <tx>
            <v>Room for labels</v>
          </tx>
          <spPr>
            <a:noFill xmlns:a="http://schemas.openxmlformats.org/drawingml/2006/main"/>
            <a:ln xmlns:a="http://schemas.openxmlformats.org/drawingml/2006/main">
              <a:noFill/>
              <a:prstDash val="solid"/>
            </a:ln>
          </spPr>
          <cat>
            <strRef>
              <f>'Dashboard'!$H$51:$H$57</f>
            </strRef>
          </cat>
          <val>
            <numRef>
              <f>'Dashboard'!$N$51:$N$57</f>
            </numRef>
          </val>
        </ser>
        <ser>
          <idx val="2"/>
          <order val="2"/>
          <tx>
            <v>Under budget</v>
          </tx>
          <spPr>
            <a:solidFill xmlns:a="http://schemas.openxmlformats.org/drawingml/2006/main">
              <a:srgbClr val="1BAF7A"/>
            </a:solidFill>
            <a:ln xmlns:a="http://schemas.openxmlformats.org/drawingml/2006/main">
              <a:noFill/>
              <a:prstDash val="solid"/>
            </a:ln>
          </spPr>
          <dLbls>
            <numFmt formatCode="+&quot;$&quot;#,##0.0,&quot;k&quot;;-&quot;$&quot;#,##0.0,&quot;k&quot;;;" sourceLinked="0"/>
            <txPr>
              <a:bodyPr xmlns:a="http://schemas.openxmlformats.org/drawingml/2006/main"/>
              <a:p xmlns:a="http://schemas.openxmlformats.org/drawingml/2006/main">
                <a:pPr>
                  <a:defRPr sz="900" b="1">
                    <a:solidFill>
                      <a:srgbClr val="222B36"/>
                    </a:solidFill>
                    <a:latin typeface="Arial"/>
                  </a:defRPr>
                </a:pPr>
                <a:r>
                  <a:t/>
                </a:r>
                <a:endParaRPr sz="900" b="1">
                  <a:solidFill>
                    <a:srgbClr val="222B36"/>
                  </a:solidFill>
                  <a:latin typeface="Arial"/>
                </a:endParaRPr>
              </a:p>
            </txPr>
            <dLblPos val="outEnd"/>
            <showLegendKey val="0"/>
            <showVal val="1"/>
            <showCatName val="0"/>
            <showSerName val="0"/>
            <showPercent val="0"/>
          </dLbls>
          <cat>
            <strRef>
              <f>'Dashboard'!$H$51:$H$57</f>
            </strRef>
          </cat>
          <val>
            <numRef>
              <f>'Dashboard'!$M$51:$M$57</f>
            </numRef>
          </val>
        </ser>
        <gapWidth val="55"/>
        <overlap val="100"/>
        <axId val="10"/>
        <axId val="100"/>
      </barChart>
      <catAx>
        <axId val="10"/>
        <scaling>
          <orientation val="maxMin"/>
        </scaling>
        <delete val="0"/>
        <axPos val="l"/>
        <majorTickMark val="none"/>
        <minorTickMark val="none"/>
        <tickLblPos val="low"/>
        <spPr>
          <a:ln xmlns:a="http://schemas.openxmlformats.org/drawingml/2006/main" w="9525">
            <a:solidFill>
              <a:srgbClr val="C9D0D8"/>
            </a:solid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0"/>
        <lblOffset val="100"/>
      </catAx>
      <valAx>
        <axId val="100"/>
        <scaling>
          <orientation val="minMax"/>
        </scaling>
        <delete val="0"/>
        <axPos val="l"/>
        <majorGridlines>
          <spPr>
            <a:ln xmlns:a="http://schemas.openxmlformats.org/drawingml/2006/main" w="9525">
              <a:solidFill>
                <a:srgbClr val="E3E7EC"/>
              </a:solidFill>
              <a:prstDash val="solid"/>
            </a:ln>
          </spPr>
        </majorGridlines>
        <numFmt formatCode="&quot;$&quot;#,##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
        <crosses val="max"/>
      </valAx>
      <spPr>
        <a:noFill xmlns:a="http://schemas.openxmlformats.org/drawingml/2006/main"/>
        <a:ln xmlns:a="http://schemas.openxmlformats.org/drawingml/2006/main">
          <a:noFill/>
          <a:prstDash val="solid"/>
        </a:ln>
      </spPr>
    </plotArea>
    <legend>
      <legendPos val="t"/>
      <legendEntry>
        <idx val="1"/>
        <delete val="1"/>
      </legendEntry>
      <overlay val="0"/>
      <txPr>
        <a:bodyPr xmlns:a="http://schemas.openxmlformats.org/drawingml/2006/main"/>
        <a:p xmlns:a="http://schemas.openxmlformats.org/drawingml/2006/main">
          <a:pPr>
            <a:defRPr sz="900" b="0">
              <a:solidFill>
                <a:srgbClr val="222B36"/>
              </a:solidFill>
              <a:latin typeface="Arial"/>
            </a:defRPr>
          </a:pPr>
          <a:r>
            <a:t/>
          </a:r>
          <a:endParaRPr sz="900" b="0">
            <a:solidFill>
              <a:srgbClr val="222B36"/>
            </a:solidFill>
            <a:latin typeface="Arial"/>
          </a:endParaRPr>
        </a:p>
      </txPr>
    </legend>
    <plotVisOnly val="1"/>
    <dispBlanksAs val="gap"/>
  </chart>
  <spPr>
    <a:ln xmlns:a="http://schemas.openxmlformats.org/drawingml/2006/main">
      <a:noFill/>
      <a:prstDash val="solid"/>
    </a:ln>
  </spPr>
</chartSpace>
</file>

<file path=xl/charts/chart3.xml><?xml version="1.0" encoding="utf-8"?>
<chartSpace xmlns="http://schemas.openxmlformats.org/drawingml/2006/chart">
  <roundedCorners val="0"/>
  <chart>
    <plotArea>
      <barChart>
        <barDir val="bar"/>
        <grouping val="stacked"/>
        <ser>
          <idx val="0"/>
          <order val="0"/>
          <tx>
            <v>Approved changes</v>
          </tx>
          <spPr>
            <a:solidFill xmlns:a="http://schemas.openxmlformats.org/drawingml/2006/main">
              <a:srgbClr val="2A78D6"/>
            </a:solidFill>
            <a:ln xmlns:a="http://schemas.openxmlformats.org/drawingml/2006/main" w="19050">
              <a:solidFill>
                <a:srgbClr val="FFFFFF"/>
              </a:solidFill>
              <a:prstDash val="solid"/>
            </a:ln>
          </spPr>
          <dLbls>
            <numFmt formatCode="&quot;$&quot;#,##0.0,&quot;k&quot;;;;" sourceLinked="0"/>
            <txPr>
              <a:bodyPr xmlns:a="http://schemas.openxmlformats.org/drawingml/2006/main"/>
              <a:p xmlns:a="http://schemas.openxmlformats.org/drawingml/2006/main">
                <a:pPr>
                  <a:defRPr sz="900" b="1">
                    <a:solidFill>
                      <a:srgbClr val="FFFFFF"/>
                    </a:solidFill>
                    <a:latin typeface="Arial"/>
                  </a:defRPr>
                </a:pPr>
                <a:r>
                  <a:t/>
                </a:r>
                <a:endParaRPr sz="900" b="1">
                  <a:solidFill>
                    <a:srgbClr val="FFFFFF"/>
                  </a:solidFill>
                  <a:latin typeface="Arial"/>
                </a:endParaRPr>
              </a:p>
            </txPr>
            <showLegendKey val="0"/>
            <showVal val="1"/>
            <showCatName val="0"/>
            <showSerName val="0"/>
            <showPercent val="0"/>
          </dLbls>
          <val>
            <numRef>
              <f>'Dashboard'!$D$70</f>
            </numRef>
          </val>
        </ser>
        <ser>
          <idx val="1"/>
          <order val="1"/>
          <tx>
            <v>Overruns</v>
          </tx>
          <spPr>
            <a:solidFill xmlns:a="http://schemas.openxmlformats.org/drawingml/2006/main">
              <a:srgbClr val="C23B3B"/>
            </a:solidFill>
            <a:ln xmlns:a="http://schemas.openxmlformats.org/drawingml/2006/main" w="19050">
              <a:solidFill>
                <a:srgbClr val="FFFFFF"/>
              </a:solidFill>
              <a:prstDash val="solid"/>
            </a:ln>
          </spPr>
          <dLbls>
            <numFmt formatCode="&quot;$&quot;#,##0.0,&quot;k&quot;;;;" sourceLinked="0"/>
            <txPr>
              <a:bodyPr xmlns:a="http://schemas.openxmlformats.org/drawingml/2006/main"/>
              <a:p xmlns:a="http://schemas.openxmlformats.org/drawingml/2006/main">
                <a:pPr>
                  <a:defRPr sz="900" b="1">
                    <a:solidFill>
                      <a:srgbClr val="FFFFFF"/>
                    </a:solidFill>
                    <a:latin typeface="Arial"/>
                  </a:defRPr>
                </a:pPr>
                <a:r>
                  <a:t/>
                </a:r>
                <a:endParaRPr sz="900" b="1">
                  <a:solidFill>
                    <a:srgbClr val="FFFFFF"/>
                  </a:solidFill>
                  <a:latin typeface="Arial"/>
                </a:endParaRPr>
              </a:p>
            </txPr>
            <showLegendKey val="0"/>
            <showVal val="1"/>
            <showCatName val="0"/>
            <showSerName val="0"/>
            <showPercent val="0"/>
          </dLbls>
          <val>
            <numRef>
              <f>'Dashboard'!$D$71</f>
            </numRef>
          </val>
        </ser>
        <ser>
          <idx val="2"/>
          <order val="2"/>
          <tx>
            <v>Left</v>
          </tx>
          <spPr>
            <a:solidFill xmlns:a="http://schemas.openxmlformats.org/drawingml/2006/main">
              <a:srgbClr val="DDE2E8"/>
            </a:solidFill>
            <a:ln xmlns:a="http://schemas.openxmlformats.org/drawingml/2006/main" w="19050">
              <a:solidFill>
                <a:srgbClr val="FFFFFF"/>
              </a:solidFill>
              <a:prstDash val="solid"/>
            </a:ln>
          </spPr>
          <dLbls>
            <numFmt formatCode="&quot;$&quot;#,##0.0,&quot;k&quot;;;;" sourceLinked="0"/>
            <txPr>
              <a:bodyPr xmlns:a="http://schemas.openxmlformats.org/drawingml/2006/main"/>
              <a:p xmlns:a="http://schemas.openxmlformats.org/drawingml/2006/main">
                <a:pPr>
                  <a:defRPr sz="900" b="1">
                    <a:solidFill>
                      <a:srgbClr val="222B36"/>
                    </a:solidFill>
                    <a:latin typeface="Arial"/>
                  </a:defRPr>
                </a:pPr>
                <a:r>
                  <a:t/>
                </a:r>
                <a:endParaRPr sz="900" b="1">
                  <a:solidFill>
                    <a:srgbClr val="222B36"/>
                  </a:solidFill>
                  <a:latin typeface="Arial"/>
                </a:endParaRPr>
              </a:p>
            </txPr>
            <showLegendKey val="0"/>
            <showVal val="1"/>
            <showCatName val="0"/>
            <showSerName val="0"/>
            <showPercent val="0"/>
          </dLbls>
          <val>
            <numRef>
              <f>'Dashboard'!$D$72</f>
            </numRef>
          </val>
        </ser>
        <gapWidth val="40"/>
        <overlap val="100"/>
        <axId val="10"/>
        <axId val="100"/>
      </barChart>
      <catAx>
        <axId val="10"/>
        <scaling>
          <orientation val="minMax"/>
        </scaling>
        <delete val="1"/>
        <axPos val="l"/>
        <majorTickMark val="none"/>
        <minorTickMark val="none"/>
        <spPr>
          <a:ln xmlns:a="http://schemas.openxmlformats.org/drawingml/2006/main" w="9525">
            <a:solidFill>
              <a:srgbClr val="C9D0D8"/>
            </a:solid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0"/>
        <lblOffset val="100"/>
      </catAx>
      <valAx>
        <axId val="100"/>
        <scaling>
          <orientation val="minMax"/>
          <min val="0"/>
        </scaling>
        <delete val="0"/>
        <axPos val="l"/>
        <majorGridlines>
          <spPr>
            <a:ln xmlns:a="http://schemas.openxmlformats.org/drawingml/2006/main" w="9525">
              <a:solidFill>
                <a:srgbClr val="E3E7EC"/>
              </a:solidFill>
              <a:prstDash val="solid"/>
            </a:ln>
          </spPr>
        </majorGridlines>
        <numFmt formatCode="&quot;$&quot;#,##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5F6B78"/>
                </a:solidFill>
                <a:latin typeface="Arial"/>
              </a:defRPr>
            </a:pPr>
            <a:r>
              <a:t/>
            </a:r>
            <a:endParaRPr sz="900" b="0">
              <a:solidFill>
                <a:srgbClr val="5F6B78"/>
              </a:solidFill>
              <a:latin typeface="Arial"/>
            </a:endParaRPr>
          </a:p>
        </txPr>
        <crossAx val="10"/>
      </valAx>
      <spPr>
        <a:noFill xmlns:a="http://schemas.openxmlformats.org/drawingml/2006/main"/>
        <a:ln xmlns:a="http://schemas.openxmlformats.org/drawingml/2006/main">
          <a:noFill/>
          <a:prstDash val="solid"/>
        </a:ln>
      </spPr>
    </plotArea>
    <legend>
      <legendPos val="b"/>
      <overlay val="0"/>
      <txPr>
        <a:bodyPr xmlns:a="http://schemas.openxmlformats.org/drawingml/2006/main"/>
        <a:p xmlns:a="http://schemas.openxmlformats.org/drawingml/2006/main">
          <a:pPr>
            <a:defRPr sz="900" b="0">
              <a:solidFill>
                <a:srgbClr val="222B36"/>
              </a:solidFill>
              <a:latin typeface="Arial"/>
            </a:defRPr>
          </a:pPr>
          <a:r>
            <a:t/>
          </a:r>
          <a:endParaRPr sz="900" b="0">
            <a:solidFill>
              <a:srgbClr val="222B36"/>
            </a:solidFill>
            <a:latin typeface="Arial"/>
          </a:endParaRPr>
        </a:p>
      </txPr>
    </legend>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13</row>
      <rowOff>0</rowOff>
    </from>
    <ext cx="5148000" cy="37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13</row>
      <rowOff>0</rowOff>
    </from>
    <ext cx="5148000" cy="37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36</row>
      <rowOff>0</rowOff>
    </from>
    <ext cx="5148000" cy="1655999"/>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ables/table1.xml><?xml version="1.0" encoding="utf-8"?>
<table xmlns="http://schemas.openxmlformats.org/spreadsheetml/2006/main" id="1" name="Ledger" displayName="Ledger" ref="B8:G72" headerRowCount="1">
  <autoFilter ref="B8:G72"/>
  <tableColumns count="6">
    <tableColumn id="2" name="Period"/>
    <tableColumn id="3" name="Cost line"/>
    <tableColumn id="4" name="Supplier"/>
    <tableColumn id="5" name="Description"/>
    <tableColumn id="6" name="Reference"/>
    <tableColumn id="7" name="Amount"/>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7.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17324D"/>
    <outlinePr summaryBelow="1" summaryRight="1"/>
    <pageSetUpPr fitToPage="1"/>
  </sheetPr>
  <dimension ref="B2:E57"/>
  <sheetViews>
    <sheetView showGridLines="0" zoomScale="100" workbookViewId="0">
      <selection activeCell="A1" sqref="A1"/>
    </sheetView>
  </sheetViews>
  <sheetFormatPr baseColWidth="8" defaultRowHeight="15" customHeight="1"/>
  <cols>
    <col width="2.5" customWidth="1" min="1" max="1"/>
    <col width="26" customWidth="1" min="2" max="2"/>
    <col width="74" customWidth="1" min="3" max="3"/>
    <col width="16" customWidth="1" min="4" max="4"/>
    <col width="16" customWidth="1" min="5" max="5"/>
    <col width="2.5" customWidth="1" min="6" max="6"/>
  </cols>
  <sheetData>
    <row r="1" ht="18" customHeight="1"/>
    <row r="2">
      <c r="B2" s="1" t="str">
        <f>UPPER(Company)</f>
        <v>TIDEWELL COFFEE CO.</v>
      </c>
    </row>
    <row r="3" ht="38" customHeight="1">
      <c r="B3" s="2" t="str">
        <f>ProjectName</f>
        <v>Tidewell App 2.0</v>
      </c>
    </row>
    <row r="4" ht="22" customHeight="1">
      <c r="B4" s="3" t="inlineStr">
        <is>
          <t>Project budget: plan, actuals and forecast</t>
        </is>
      </c>
    </row>
    <row r="5" ht="12" customHeight="1"/>
    <row r="6" ht="20" customHeight="1">
      <c r="B6" s="4" t="inlineStr">
        <is>
          <t>Status at</t>
        </is>
      </c>
      <c r="C6" s="5" t="str">
        <f>"End of "&amp;TEXT(ActualsThrough,"mmmm yyyy")</f>
        <v>End of September 2026</v>
      </c>
      <c r="D6" s="6" t="n"/>
      <c r="E6" s="6" t="n"/>
    </row>
    <row r="7" ht="20" customHeight="1">
      <c r="B7" s="4" t="inlineStr">
        <is>
          <t>Model checks</t>
        </is>
      </c>
      <c r="C7" s="5" t="str">
        <f>ChecksText</f>
        <v>All 14 checks pass</v>
      </c>
      <c r="D7" s="6" t="n"/>
      <c r="E7" s="6" t="n"/>
    </row>
    <row r="8" ht="20" customHeight="1">
      <c r="B8" s="4" t="inlineStr">
        <is>
          <t>Scenario</t>
        </is>
      </c>
      <c r="C8" s="5" t="str">
        <f>ScenarioLabel</f>
        <v>Current forecast</v>
      </c>
      <c r="D8" s="6" t="n"/>
      <c r="E8" s="6" t="n"/>
    </row>
    <row r="9" ht="20" customHeight="1">
      <c r="B9" s="4" t="inlineStr">
        <is>
          <t>Version</t>
        </is>
      </c>
      <c r="C9" s="7" t="inlineStr">
        <is>
          <t>1.4, 12 October 2026</t>
        </is>
      </c>
      <c r="D9" s="6" t="n"/>
      <c r="E9" s="6" t="n"/>
    </row>
    <row r="10" ht="20" customHeight="1">
      <c r="B10" s="4" t="inlineStr">
        <is>
          <t>Owner</t>
        </is>
      </c>
      <c r="C10" s="7" t="inlineStr">
        <is>
          <t>Project controls, Digital</t>
        </is>
      </c>
      <c r="D10" s="6" t="n"/>
      <c r="E10" s="6" t="n"/>
    </row>
    <row r="12" ht="24" customHeight="1">
      <c r="B12" s="8" t="inlineStr">
        <is>
          <t>What this workbook is for</t>
        </is>
      </c>
      <c r="C12" s="9" t="n"/>
      <c r="D12" s="9" t="n"/>
      <c r="E12" s="9" t="n"/>
    </row>
    <row r="13" ht="44" customHeight="1">
      <c r="B13" s="10" t="inlineStr">
        <is>
          <t>The budget for Tidewell App 2.0, the coffee chain's new app for ordering ahead, paying at the counter and collecting rewards. It holds the plan the steering committee approved in March 2026, what has been spent since, and a forecast for the rest, so you can see where the project will land, why, and what the next decision costs.</t>
        </is>
      </c>
    </row>
    <row r="15" ht="24" customHeight="1">
      <c r="B15" s="8" t="inlineStr">
        <is>
          <t>Every month</t>
        </is>
      </c>
      <c r="C15" s="9" t="n"/>
      <c r="D15" s="9" t="n"/>
      <c r="E15" s="9" t="n"/>
    </row>
    <row r="16" ht="18" customHeight="1">
      <c r="B16" s="11" t="inlineStr">
        <is>
          <t>1    Paste the month's export from the finance system at the bottom of the table on Actuals.</t>
        </is>
      </c>
    </row>
    <row r="17" ht="18" customHeight="1">
      <c r="B17" s="11" t="inlineStr">
        <is>
          <t>2    On Inputs, set Actuals through to that month.</t>
        </is>
      </c>
    </row>
    <row r="18" ht="18" customHeight="1">
      <c r="B18" s="11" t="inlineStr">
        <is>
          <t>3    Update the current plan where something changed: schedule, staffing, rates, purchases, change requests, progress.</t>
        </is>
      </c>
    </row>
    <row r="19" ht="18" customHeight="1">
      <c r="B19" s="11" t="inlineStr">
        <is>
          <t>4    Open Checks: every line should say OK. Then write the commentary on Report.</t>
        </is>
      </c>
    </row>
    <row r="20" ht="18" customHeight="1">
      <c r="B20" s="11" t="inlineStr">
        <is>
          <t>5    Share the Dashboard and the Report.</t>
        </is>
      </c>
    </row>
    <row r="22" ht="24" customHeight="1">
      <c r="B22" s="8" t="inlineStr">
        <is>
          <t>Sheets</t>
        </is>
      </c>
      <c r="C22" s="9" t="n"/>
      <c r="D22" s="9" t="n"/>
      <c r="E22" s="9" t="n"/>
    </row>
    <row r="23" ht="18" customHeight="1">
      <c r="B23" s="12" t="inlineStr">
        <is>
          <t>Dashboard</t>
        </is>
      </c>
      <c r="C23" s="13" t="inlineStr">
        <is>
          <t>Status, the key numbers and three charts for the steering committee</t>
        </is>
      </c>
      <c r="D23" s="14" t="inlineStr">
        <is>
          <t>Output</t>
        </is>
      </c>
      <c r="E23" s="6" t="n"/>
    </row>
    <row r="24" ht="18" customHeight="1">
      <c r="B24" s="12" t="inlineStr">
        <is>
          <t>Report</t>
        </is>
      </c>
      <c r="C24" s="13" t="inlineStr">
        <is>
          <t>Budget, actual, forecast and variance for each cost line; contingency; earned value</t>
        </is>
      </c>
      <c r="D24" s="14" t="inlineStr">
        <is>
          <t>Output</t>
        </is>
      </c>
      <c r="E24" s="6" t="n"/>
    </row>
    <row r="25" ht="18" customHeight="1">
      <c r="B25" s="12" t="inlineStr">
        <is>
          <t>Monthly</t>
        </is>
      </c>
      <c r="C25" s="13" t="inlineStr">
        <is>
          <t>Plan and actual + forecast per month, by group</t>
        </is>
      </c>
      <c r="D25" s="14" t="inlineStr">
        <is>
          <t>Output</t>
        </is>
      </c>
      <c r="E25" s="6" t="n"/>
    </row>
    <row r="26" ht="18" customHeight="1">
      <c r="B26" s="12" t="inlineStr">
        <is>
          <t>Inputs</t>
        </is>
      </c>
      <c r="C26" s="13" t="inlineStr">
        <is>
          <t>Settings, what-if levers, schedule, cost lines, rates, staffing, platform costs, progress</t>
        </is>
      </c>
      <c r="D26" s="14" t="inlineStr">
        <is>
          <t>Input</t>
        </is>
      </c>
      <c r="E26" s="6" t="n"/>
    </row>
    <row r="27" ht="18" customHeight="1">
      <c r="B27" s="12" t="inlineStr">
        <is>
          <t>Purchases</t>
        </is>
      </c>
      <c r="C27" s="13" t="inlineStr">
        <is>
          <t>One-off purchases and change requests</t>
        </is>
      </c>
      <c r="D27" s="14" t="inlineStr">
        <is>
          <t>Input</t>
        </is>
      </c>
      <c r="E27" s="6" t="n"/>
    </row>
    <row r="28" ht="18" customHeight="1">
      <c r="B28" s="12" t="inlineStr">
        <is>
          <t>Actuals</t>
        </is>
      </c>
      <c r="C28" s="13" t="inlineStr">
        <is>
          <t>The finance system's export: one row per booking</t>
        </is>
      </c>
      <c r="D28" s="14" t="inlineStr">
        <is>
          <t>Input</t>
        </is>
      </c>
      <c r="E28" s="6" t="n"/>
    </row>
    <row r="29" ht="18" customHeight="1">
      <c r="B29" s="12" t="inlineStr">
        <is>
          <t>Calc</t>
        </is>
      </c>
      <c r="C29" s="13" t="inlineStr">
        <is>
          <t>Every calculation, month by month</t>
        </is>
      </c>
      <c r="D29" s="14" t="inlineStr">
        <is>
          <t>Calculation</t>
        </is>
      </c>
      <c r="E29" s="6" t="n"/>
    </row>
    <row r="30" ht="18" customHeight="1">
      <c r="B30" s="12" t="inlineStr">
        <is>
          <t>Checks</t>
        </is>
      </c>
      <c r="C30" s="13" t="inlineStr">
        <is>
          <t>Tests the model runs on itself</t>
        </is>
      </c>
      <c r="D30" s="14" t="inlineStr">
        <is>
          <t>Check</t>
        </is>
      </c>
      <c r="E30" s="6" t="n"/>
    </row>
    <row r="32" ht="24" customHeight="1">
      <c r="B32" s="8" t="inlineStr">
        <is>
          <t>Colour key</t>
        </is>
      </c>
      <c r="C32" s="9" t="n"/>
      <c r="D32" s="9" t="n"/>
      <c r="E32" s="9" t="n"/>
    </row>
    <row r="33" ht="20" customHeight="1">
      <c r="B33" s="15" t="n">
        <v>1250</v>
      </c>
      <c r="C33" s="11" t="inlineStr">
        <is>
          <t>An assumption: type here. Inputs are the only unlocked cells.</t>
        </is>
      </c>
    </row>
    <row r="34" ht="20" customHeight="1">
      <c r="B34" s="16" t="n">
        <v>1250</v>
      </c>
      <c r="C34" s="11" t="inlineStr">
        <is>
          <t>Typed-in records: the actuals, the cost lines, the commentary.</t>
        </is>
      </c>
    </row>
    <row r="35" ht="20" customHeight="1">
      <c r="B35" s="17" t="n">
        <v>1250</v>
      </c>
      <c r="C35" s="11" t="inlineStr">
        <is>
          <t>Formula. Don't type over it: the sheet is protected so you can't by accident.</t>
        </is>
      </c>
    </row>
    <row r="36" ht="20" customHeight="1">
      <c r="B36" s="18" t="n">
        <v>1250</v>
      </c>
      <c r="C36" s="11" t="inlineStr">
        <is>
          <t>Formula that brings a number from another sheet (on Calc and Checks).</t>
        </is>
      </c>
    </row>
    <row r="37" ht="20" customHeight="1">
      <c r="B37" s="19" t="n">
        <v>1250</v>
      </c>
      <c r="C37" s="11" t="inlineStr">
        <is>
          <t>Current plan differs from the baseline (on Inputs and Purchases).</t>
        </is>
      </c>
    </row>
    <row r="38" ht="20" customHeight="1">
      <c r="B38" s="20" t="inlineStr">
        <is>
          <t>OK</t>
        </is>
      </c>
      <c r="C38" s="11" t="inlineStr">
        <is>
          <t>Check passes. FAIL in red when it doesn't.</t>
        </is>
      </c>
    </row>
    <row r="39" ht="20" customHeight="1">
      <c r="B39" s="21" t="inlineStr">
        <is>
          <t>Sep-26</t>
        </is>
      </c>
      <c r="C39" s="11" t="inlineStr">
        <is>
          <t>A month with actuals. White months are forecast.</t>
        </is>
      </c>
    </row>
    <row r="41" ht="24" customHeight="1">
      <c r="B41" s="8" t="inlineStr">
        <is>
          <t>Conventions</t>
        </is>
      </c>
      <c r="C41" s="9" t="n"/>
      <c r="D41" s="9" t="n"/>
      <c r="E41" s="9" t="n"/>
    </row>
    <row r="42" ht="18" customHeight="1">
      <c r="B42" s="10" t="inlineStr">
        <is>
          <t>•   Amounts in US dollars, without sales tax. Costs are positive.</t>
        </is>
      </c>
    </row>
    <row r="43" ht="18" customHeight="1">
      <c r="B43" s="10" t="inlineStr">
        <is>
          <t>•   Over (under): forecast minus budget. Positive means over budget, shown red; negative means under, shown green.</t>
        </is>
      </c>
    </row>
    <row r="44" ht="18" customHeight="1">
      <c r="B44" s="10" t="inlineStr">
        <is>
          <t>•   Every timeline has the same 15 months, April 2026 to June 2027, in the same columns (F to T).</t>
        </is>
      </c>
    </row>
    <row r="45" ht="18" customHeight="1">
      <c r="B45" s="10" t="inlineStr">
        <is>
          <t>•   Baseline: the plan approved on 12 March 2026. It doesn't change; changes go into the current plan.</t>
        </is>
      </c>
    </row>
    <row r="46" ht="18" customHeight="1">
      <c r="B46" s="10" t="inlineStr">
        <is>
          <t>•   Forecast: actuals for the closed months, the current plan for the months after.</t>
        </is>
      </c>
    </row>
    <row r="47" ht="30" customHeight="1">
      <c r="B47" s="10" t="inlineStr">
        <is>
          <t>•   No macros, no hidden sheets, no links to other files. Calculation and output sheets are protected without a password (Review &gt; Unprotect Sheet).</t>
        </is>
      </c>
    </row>
    <row r="49" ht="24" customHeight="1">
      <c r="B49" s="8" t="inlineStr">
        <is>
          <t>Version history</t>
        </is>
      </c>
      <c r="C49" s="9" t="n"/>
      <c r="D49" s="9" t="n"/>
      <c r="E49" s="9" t="n"/>
    </row>
    <row r="50" ht="18" customHeight="1">
      <c r="B50" s="14" t="inlineStr">
        <is>
          <t>1.0   12 Mar 2026</t>
        </is>
      </c>
      <c r="C50" s="13" t="inlineStr">
        <is>
          <t>Baseline approved by the steering committee</t>
        </is>
      </c>
      <c r="D50" s="6" t="n"/>
      <c r="E50" s="6" t="n"/>
    </row>
    <row r="51" ht="18" customHeight="1">
      <c r="B51" s="14" t="inlineStr">
        <is>
          <t>1.1   9 Jul 2026</t>
        </is>
      </c>
      <c r="C51" s="13" t="inlineStr">
        <is>
          <t>April to June actuals</t>
        </is>
      </c>
      <c r="D51" s="6" t="n"/>
      <c r="E51" s="6" t="n"/>
    </row>
    <row r="52" ht="18" customHeight="1">
      <c r="B52" s="14" t="inlineStr">
        <is>
          <t>1.2   11 Aug 2026</t>
        </is>
      </c>
      <c r="C52" s="13" t="inlineStr">
        <is>
          <t>July actuals; Android contractor added</t>
        </is>
      </c>
      <c r="D52" s="6" t="n"/>
      <c r="E52" s="6" t="n"/>
    </row>
    <row r="53" ht="18" customHeight="1">
      <c r="B53" s="14" t="inlineStr">
        <is>
          <t>1.3   10 Sep 2026</t>
        </is>
      </c>
      <c r="C53" s="13" t="inlineStr">
        <is>
          <t>August actuals; CR-01 wallet payments approved</t>
        </is>
      </c>
      <c r="D53" s="6" t="n"/>
      <c r="E53" s="6" t="n"/>
    </row>
    <row r="54" ht="18" customHeight="1">
      <c r="B54" s="14" t="inlineStr">
        <is>
          <t>1.4   12 Oct 2026</t>
        </is>
      </c>
      <c r="C54" s="13" t="inlineStr">
        <is>
          <t>September actuals; CR-02 approved; new test day rate; penetration test quote</t>
        </is>
      </c>
      <c r="D54" s="6" t="n"/>
      <c r="E54" s="6" t="n"/>
    </row>
    <row r="57">
      <c r="B57" s="22" t="inlineStr">
        <is>
          <t>Tidewell Coffee Co., its people and its suppliers are made up. This workbook is an example from goodaiguide.com/possible/the-budget, built by Claude Code.</t>
        </is>
      </c>
    </row>
  </sheetData>
  <sheetProtection selectLockedCells="0" selectUnlockedCells="0" sheet="1" objects="0" insertRows="1" insertHyperlinks="1" autoFilter="1" scenarios="0" formatColumns="0" deleteColumns="1" insertColumns="1" pivotTables="1" deleteRows="1" formatCells="1" formatRows="0" sort="1"/>
  <mergeCells count="12">
    <mergeCell ref="B45:E45"/>
    <mergeCell ref="B17:E17"/>
    <mergeCell ref="B18:E18"/>
    <mergeCell ref="B43:E43"/>
    <mergeCell ref="B13:E13"/>
    <mergeCell ref="B44:E44"/>
    <mergeCell ref="B16:E16"/>
    <mergeCell ref="B47:E47"/>
    <mergeCell ref="B19:E19"/>
    <mergeCell ref="B20:E20"/>
    <mergeCell ref="B42:E42"/>
    <mergeCell ref="B46:E46"/>
  </mergeCells>
  <conditionalFormatting sqref="C7">
    <cfRule type="expression" priority="1" dxfId="0" stopIfTrue="0">
      <formula>COUNTIF($C$7,"*fail*")&gt;0</formula>
    </cfRule>
    <cfRule type="expression" priority="2" dxfId="1" stopIfTrue="0">
      <formula>COUNTIF($C$7,"*fail*")=0</formula>
    </cfRule>
  </conditionalFormatting>
  <conditionalFormatting sqref="C8">
    <cfRule type="expression" priority="3" dxfId="2" stopIfTrue="0">
      <formula>$C$8&lt;&gt;"Current forecast"</formula>
    </cfRule>
  </conditionalFormatting>
  <hyperlinks>
    <hyperlink ref="B23" location="'Dashboard'!A1" display="Dashboard"/>
    <hyperlink ref="B24" location="'Report'!A1" display="Report"/>
    <hyperlink ref="B25" location="'Monthly'!A1" display="Monthly"/>
    <hyperlink ref="B26" location="'Inputs'!A1" display="Inputs"/>
    <hyperlink ref="B27" location="'Purchases'!A1" display="Purchases"/>
    <hyperlink ref="B28" location="'Actuals'!A1" display="Actuals"/>
    <hyperlink ref="B29" location="'Calc'!A1" display="Calc"/>
    <hyperlink ref="B30" location="'Checks'!A1" display="Checks"/>
  </hyperlinks>
  <printOptions horizontalCentered="1"/>
  <pageMargins left="0.45" right="0.45" top="0.6" bottom="0.6" header="0.5" footer="0.5"/>
  <pageSetup orientation="portrait"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2.xml><?xml version="1.0" encoding="utf-8"?>
<worksheet xmlns="http://schemas.openxmlformats.org/spreadsheetml/2006/main">
  <sheetPr>
    <tabColor rgb="0017324D"/>
    <outlinePr summaryBelow="1" summaryRight="1"/>
    <pageSetUpPr fitToPage="1"/>
  </sheetPr>
  <dimension ref="B2:N73"/>
  <sheetViews>
    <sheetView showGridLines="0" zoomScale="100" workbookViewId="0">
      <selection activeCell="A1" sqref="A1"/>
    </sheetView>
  </sheetViews>
  <sheetFormatPr baseColWidth="8" defaultRowHeight="15" customHeight="1"/>
  <cols>
    <col width="2.5" customWidth="1" min="1" max="1"/>
    <col width="24" customWidth="1" min="2" max="2"/>
    <col width="2.5" customWidth="1" min="3" max="3"/>
    <col width="24" customWidth="1" min="4" max="4"/>
    <col width="2.5" customWidth="1" min="5" max="5"/>
    <col width="24" customWidth="1" min="6" max="6"/>
    <col width="2.5" customWidth="1" min="7" max="7"/>
    <col width="24" customWidth="1" min="8" max="8"/>
    <col width="2.5" customWidth="1" min="9" max="9"/>
    <col width="24" customWidth="1" min="10" max="10"/>
    <col width="2.5" customWidth="1" min="11" max="11"/>
    <col width="24" customWidth="1" min="12" max="12"/>
    <col width="12" customWidth="1" min="13" max="13"/>
    <col width="12" customWidth="1" min="14" max="14"/>
  </cols>
  <sheetData>
    <row r="1" ht="8" customHeight="1"/>
    <row r="2" ht="32" customHeight="1">
      <c r="B2" s="23" t="str">
        <f>ProjectName&amp;": budget status"</f>
        <v>Tidewell App 2.0: budget status</v>
      </c>
    </row>
    <row r="3" ht="18" customHeight="1">
      <c r="B3" s="24" t="str">
        <f>"End of "&amp;TEXT(ActualsThrough,"mmmm yyyy")&amp;"  ·  "&amp;Company&amp;"  ·  "&amp;Currency</f>
        <v>End of September 2026  ·  Tidewell Coffee Co.  ·  USD</v>
      </c>
    </row>
    <row r="4" ht="10" customHeight="1"/>
    <row r="5" ht="28" customHeight="1">
      <c r="B5" s="25" t="str">
        <f>"●  "&amp;F47</f>
        <v>●  Amber: inside the approved budget, with less than 50% of the contingency left</v>
      </c>
      <c r="C5" s="26" t="n"/>
      <c r="D5" s="26" t="n"/>
      <c r="E5" s="26" t="n"/>
      <c r="F5" s="26" t="n"/>
      <c r="G5" s="26" t="n"/>
      <c r="H5" s="26" t="n"/>
      <c r="I5" s="26" t="n"/>
      <c r="J5" s="26" t="n"/>
      <c r="K5" s="26" t="n"/>
      <c r="L5" s="26" t="n"/>
    </row>
    <row r="6" ht="20" customHeight="1">
      <c r="B6" s="27" t="str">
        <f>"Checks: "&amp;ChecksText&amp;"   ·   Scenario: "&amp;ScenarioLabel</f>
        <v>Checks: All 14 checks pass   ·   Scenario: Current forecast</v>
      </c>
    </row>
    <row r="7" ht="8" customHeight="1"/>
    <row r="8" ht="24" customHeight="1">
      <c r="B8" s="28" t="inlineStr">
        <is>
          <t>Approved budget</t>
        </is>
      </c>
      <c r="D8" s="28" t="inlineStr">
        <is>
          <t>Spent to date</t>
        </is>
      </c>
      <c r="F8" s="28" t="inlineStr">
        <is>
          <t>Forecast at completion</t>
        </is>
      </c>
      <c r="H8" s="28" t="inlineStr">
        <is>
          <t>Contingency left</t>
        </is>
      </c>
      <c r="J8" s="28" t="inlineStr">
        <is>
          <t>Launch</t>
        </is>
      </c>
      <c r="L8" s="28" t="inlineStr">
        <is>
          <t>Work per dollar</t>
        </is>
      </c>
    </row>
    <row r="9" ht="34" customHeight="1">
      <c r="B9" s="29">
        <f>ApprovedBudget</f>
        <v>1925000</v>
      </c>
      <c r="D9" s="29">
        <f>ActualToDate</f>
        <v>826535</v>
      </c>
      <c r="F9" s="29">
        <f>Forecast</f>
        <v>1870855</v>
      </c>
      <c r="H9" s="29">
        <f>ContingencyLeft</f>
        <v>54145</v>
      </c>
      <c r="J9" s="30">
        <f>FcLaunch</f>
        <v>46388</v>
      </c>
      <c r="L9" s="31">
        <f>CPI</f>
        <v>0.8580640868202798</v>
      </c>
    </row>
    <row r="10" ht="34" customHeight="1">
      <c r="B10" s="32" t="str">
        <f>"incl. "&amp;TEXT(Reserve,"$#,##0,")&amp;"k contingency"</f>
        <v>incl. $178k contingency</v>
      </c>
      <c r="D10" s="32" t="str">
        <f>TEXT(ActualToDate/ApprovedBudget,"0%")&amp;" of the budget · plan: "&amp;TEXT(PlanToDate,"$#,##0,")&amp;"k"</f>
        <v>43% of the budget · plan: $810k</v>
      </c>
      <c r="F10" s="32" t="str">
        <f>TEXT(ForecastVariance,"+$#,##0,;-$#,##0,")&amp;"k against the base budget"</f>
        <v>+$124k against the base budget</v>
      </c>
      <c r="H10" s="32" t="str">
        <f>TEXT(IF(Reserve=0,0,ContingencyLeft/Reserve),"0%")&amp;" of the "&amp;TEXT(Reserve,"$#,##0,")&amp;"k reserve"</f>
        <v>30% of the $178k reserve</v>
      </c>
      <c r="J10" s="32" t="str">
        <f>IF(LaunchDelay=0,"On the approved date",IF(LaunchDelay&gt;0,LaunchDelay&amp;IF(LaunchDelay=1," month"," months")&amp;" after the approved date",-LaunchDelay&amp;IF(LaunchDelay=-1," month"," months")&amp;" early"))</f>
        <v>On the approved date</v>
      </c>
      <c r="L10" s="32" t="str">
        <f>"$"&amp;TEXT(CPI,"0.00")&amp;" of planned work for each $1 spent"</f>
        <v>$0.86 of planned work for each $1 spent</v>
      </c>
    </row>
    <row r="11" ht="16" customHeight="1"/>
    <row r="12" ht="22" customHeight="1">
      <c r="B12" s="33" t="inlineStr">
        <is>
          <t>Cumulative spend</t>
        </is>
      </c>
      <c r="H12" s="33" t="inlineStr">
        <is>
          <t>What moves the forecast</t>
        </is>
      </c>
    </row>
    <row r="13">
      <c r="B13" s="27" t="inlineStr">
        <is>
          <t>Approved plan against actual to date plus forecast. The shaded months are forecast.</t>
        </is>
      </c>
      <c r="H13" s="27" t="inlineStr">
        <is>
          <t>Forecast minus budget per cost line, largest first</t>
        </is>
      </c>
    </row>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5" ht="22" customHeight="1">
      <c r="B35" s="33" t="inlineStr">
        <is>
          <t>Contingency</t>
        </is>
      </c>
      <c r="H35" s="33" t="inlineStr">
        <is>
          <t>Decisions this month</t>
        </is>
      </c>
    </row>
    <row r="36">
      <c r="B36" s="27" t="str">
        <f>"What has used the "&amp;TEXT(Reserve,"$#,##0,")&amp;"k reserve so far"</f>
        <v>What has used the $178k reserve so far</v>
      </c>
      <c r="H36" s="27" t="inlineStr">
        <is>
          <t>Numbers to have ready for the steering committee</t>
        </is>
      </c>
    </row>
    <row r="37" ht="22" customHeight="1">
      <c r="H37" s="34" t="inlineStr">
        <is>
          <t>One more month of build would cost</t>
        </is>
      </c>
      <c r="I37" s="35" t="n"/>
      <c r="J37" s="35" t="n"/>
      <c r="K37" s="35" t="n"/>
      <c r="L37" s="36">
        <f>SUMPRODUCT(Inputs!$K$75:$K$82,Inputs!$H$62:$H$69)+SUM(Inputs!$K$89:$K$91)</f>
        <v>187245</v>
      </c>
    </row>
    <row r="38" ht="22" customHeight="1">
      <c r="H38" s="34" t="inlineStr">
        <is>
          <t>The contingency left pays for</t>
        </is>
      </c>
      <c r="I38" s="35" t="n"/>
      <c r="J38" s="35" t="n"/>
      <c r="K38" s="35" t="n"/>
      <c r="L38" s="37">
        <f>IF(MonthOfBuild=0,0,MAX(0,ContingencyLeft)/MonthOfBuild)</f>
        <v>0.28916659990920984</v>
      </c>
    </row>
    <row r="39" ht="22" customHeight="1">
      <c r="H39" s="34" t="str">
        <f>IF(IncludePending="Yes","Pending change requests (in this scenario)","Pending change requests, not yet decided")</f>
        <v>Pending change requests, not yet decided</v>
      </c>
      <c r="I39" s="35" t="n"/>
      <c r="J39" s="35" t="n"/>
      <c r="K39" s="35" t="n"/>
      <c r="L39" s="36">
        <f>PendingTotal</f>
        <v>46000</v>
      </c>
    </row>
    <row r="40" ht="22" customHeight="1">
      <c r="H40" s="34" t="inlineStr">
        <is>
          <t>Contingency left if they are approved</t>
        </is>
      </c>
      <c r="I40" s="35" t="n"/>
      <c r="J40" s="35" t="n"/>
      <c r="K40" s="35" t="n"/>
      <c r="L40" s="36">
        <f>LeftIfPending</f>
        <v>8145</v>
      </c>
    </row>
    <row r="41" ht="22" customHeight="1">
      <c r="H41" s="34" t="inlineStr">
        <is>
          <t>Forecast at today's work per dollar</t>
        </is>
      </c>
      <c r="I41" s="35" t="n"/>
      <c r="J41" s="35" t="n"/>
      <c r="K41" s="35" t="n"/>
      <c r="L41" s="36">
        <f>ForecastAtCPI+ChangesUsed</f>
        <v>2095763.9887129522</v>
      </c>
    </row>
    <row r="42" ht="22" customHeight="1">
      <c r="H42" s="34" t="inlineStr">
        <is>
          <t>… against the approved budget</t>
        </is>
      </c>
      <c r="I42" s="35" t="n"/>
      <c r="J42" s="35" t="n"/>
      <c r="K42" s="35" t="n"/>
      <c r="L42" s="38">
        <f>CPIOverApproved</f>
        <v>170763.98871295224</v>
      </c>
    </row>
    <row r="43">
      <c r="H43" s="22" t="inlineStr">
        <is>
          <t>Work per dollar: the cost performance index on Report.</t>
        </is>
      </c>
    </row>
    <row r="44">
      <c r="H44" s="22" t="inlineStr">
        <is>
          <t>A month of build: the current plan's build team and platform for one month.</t>
        </is>
      </c>
    </row>
    <row r="45" ht="22" customHeight="1">
      <c r="B45" s="39" t="inlineStr">
        <is>
          <t>Data behind the charts</t>
        </is>
      </c>
      <c r="C45" s="40" t="n"/>
      <c r="D45" s="40" t="n"/>
      <c r="E45" s="40" t="n"/>
      <c r="F45" s="40" t="n"/>
      <c r="G45" s="40" t="n"/>
      <c r="H45" s="40" t="n"/>
      <c r="I45" s="40" t="n"/>
      <c r="J45" s="40" t="n"/>
      <c r="K45" s="40" t="n"/>
      <c r="L45" s="40" t="n"/>
    </row>
    <row r="46">
      <c r="B46" s="41" t="inlineStr">
        <is>
          <t>Formulas only. The charts and the colours above read these cells.</t>
        </is>
      </c>
    </row>
    <row r="47">
      <c r="B47" s="11" t="inlineStr">
        <is>
          <t>Status</t>
        </is>
      </c>
      <c r="D47" s="42" t="str">
        <f>IF(ContingencyLeft&lt;0,"Red",IF(ContingencyLeft&lt;AmberBelow*Reserve,"Amber","Green"))</f>
        <v>Amber</v>
      </c>
      <c r="F47" s="11" t="str">
        <f>IF(D47="Red","Red: the forecast is over the approved budget",IF(D47="Amber","Amber: inside the approved budget, with less than "&amp;TEXT(AmberBelow,"0%")&amp;" of the contingency left","Green: inside the approved budget, with most of the contingency left"))</f>
        <v>Amber: inside the approved budget, with less than 50% of the contingency left</v>
      </c>
    </row>
    <row r="48">
      <c r="B48" s="43" t="inlineStr">
        <is>
          <t>Checks failing</t>
        </is>
      </c>
      <c r="D48" s="44">
        <f>ChecksFailed</f>
        <v>0</v>
      </c>
      <c r="F48" s="43" t="inlineStr">
        <is>
          <t>Scenario</t>
        </is>
      </c>
      <c r="H48" s="43" t="str">
        <f>ScenarioLabel</f>
        <v>Current forecast</v>
      </c>
      <c r="J48" s="43" t="inlineStr">
        <is>
          <t>Months late</t>
        </is>
      </c>
      <c r="L48" s="44">
        <f>LaunchDelay</f>
        <v>0</v>
      </c>
    </row>
    <row r="50">
      <c r="B50" s="1" t="inlineStr">
        <is>
          <t>Over (under) budget by cost line</t>
        </is>
      </c>
      <c r="H50" s="1" t="inlineStr">
        <is>
          <t>Largest first</t>
        </is>
      </c>
      <c r="L50" s="45" t="inlineStr">
        <is>
          <t>Over</t>
        </is>
      </c>
      <c r="M50" s="45" t="inlineStr">
        <is>
          <t>Under</t>
        </is>
      </c>
      <c r="N50" s="45" t="inlineStr">
        <is>
          <t>Room</t>
        </is>
      </c>
    </row>
    <row r="51">
      <c r="B51" s="43" t="str">
        <f>Report!$B$9</f>
        <v>Product management</v>
      </c>
      <c r="D51" s="46">
        <f>Report!$I$9</f>
        <v>0</v>
      </c>
      <c r="F51" s="47">
        <f>ABS(D51)+ROW()/1000000000</f>
        <v>5.1e-08</v>
      </c>
      <c r="H51" s="43" t="str">
        <f>INDEX($B$51:$B$67,MATCH(LARGE($F$51:$F$67,ROWS(H$51:H51)),$F$51:$F$67,0))</f>
        <v>Approved changes</v>
      </c>
      <c r="J51" s="46">
        <f>INDEX($D$51:$D$67,MATCH(LARGE($F$51:$F$67,ROWS(H$51:H51)),$F$51:$F$67,0))</f>
        <v>59500</v>
      </c>
      <c r="L51" s="46">
        <f>MAX(J51,0)</f>
        <v>59500</v>
      </c>
      <c r="M51" s="46">
        <f>MIN(J51,0)</f>
        <v>0</v>
      </c>
      <c r="N51" s="48">
        <f>IF(MIN(M51:M57)&lt;0,MIN(M51:M57)-0.4*MAX(MAX(L51:L57),-MIN(M51:M57)),0)</f>
        <v>-45675</v>
      </c>
    </row>
    <row r="52">
      <c r="B52" s="43" t="str">
        <f>Report!$B$10</f>
        <v>Product design</v>
      </c>
      <c r="D52" s="46">
        <f>Report!$I$10</f>
        <v>-21875</v>
      </c>
      <c r="F52" s="47">
        <f>ABS(D52)+ROW()/1000000000</f>
        <v>21875.000000052</v>
      </c>
      <c r="H52" s="43" t="str">
        <f>INDEX($B$51:$B$67,MATCH(LARGE($F$51:$F$67,ROWS(H$51:H52)),$F$51:$F$67,0))</f>
        <v>Android development</v>
      </c>
      <c r="J52" s="46">
        <f>INDEX($D$51:$D$67,MATCH(LARGE($F$51:$F$67,ROWS(H$51:H52)),$F$51:$F$67,0))</f>
        <v>41040</v>
      </c>
      <c r="L52" s="46">
        <f>MAX(J52,0)</f>
        <v>41040</v>
      </c>
      <c r="M52" s="46">
        <f>MIN(J52,0)</f>
        <v>0</v>
      </c>
    </row>
    <row r="53">
      <c r="B53" s="43" t="str">
        <f>Report!$B$11</f>
        <v>iOS development</v>
      </c>
      <c r="D53" s="46">
        <f>Report!$I$11</f>
        <v>-780</v>
      </c>
      <c r="F53" s="47">
        <f>ABS(D53)+ROW()/1000000000</f>
        <v>780.000000053</v>
      </c>
      <c r="H53" s="43" t="str">
        <f>INDEX($B$51:$B$67,MATCH(LARGE($F$51:$F$67,ROWS(H$51:H53)),$F$51:$F$67,0))</f>
        <v>Product design</v>
      </c>
      <c r="J53" s="46">
        <f>INDEX($D$51:$D$67,MATCH(LARGE($F$51:$F$67,ROWS(H$51:H53)),$F$51:$F$67,0))</f>
        <v>-21875</v>
      </c>
      <c r="L53" s="46">
        <f>MAX(J53,0)</f>
        <v>0</v>
      </c>
      <c r="M53" s="46">
        <f>MIN(J53,0)</f>
        <v>-21875</v>
      </c>
    </row>
    <row r="54">
      <c r="B54" s="43" t="str">
        <f>Report!$B$12</f>
        <v>Android development</v>
      </c>
      <c r="D54" s="46">
        <f>Report!$I$12</f>
        <v>41040</v>
      </c>
      <c r="F54" s="47">
        <f>ABS(D54)+ROW()/1000000000</f>
        <v>41040.000000054</v>
      </c>
      <c r="H54" s="43" t="str">
        <f>INDEX($B$51:$B$67,MATCH(LARGE($F$51:$F$67,ROWS(H$51:H54)),$F$51:$F$67,0))</f>
        <v>Quality assurance</v>
      </c>
      <c r="J54" s="46">
        <f>INDEX($D$51:$D$67,MATCH(LARGE($F$51:$F$67,ROWS(H$51:H54)),$F$51:$F$67,0))</f>
        <v>21660</v>
      </c>
      <c r="L54" s="46">
        <f>MAX(J54,0)</f>
        <v>21660</v>
      </c>
      <c r="M54" s="46">
        <f>MIN(J54,0)</f>
        <v>0</v>
      </c>
    </row>
    <row r="55">
      <c r="B55" s="43" t="str">
        <f>Report!$B$13</f>
        <v>Backend &amp; integrations</v>
      </c>
      <c r="D55" s="46">
        <f>Report!$I$13</f>
        <v>0</v>
      </c>
      <c r="F55" s="47">
        <f>ABS(D55)+ROW()/1000000000</f>
        <v>5.5e-08</v>
      </c>
      <c r="H55" s="43" t="str">
        <f>INDEX($B$51:$B$67,MATCH(LARGE($F$51:$F$67,ROWS(H$51:H55)),$F$51:$F$67,0))</f>
        <v>Cloud hosting</v>
      </c>
      <c r="J55" s="46">
        <f>INDEX($D$51:$D$67,MATCH(LARGE($F$51:$F$67,ROWS(H$51:H55)),$F$51:$F$67,0))</f>
        <v>12800</v>
      </c>
      <c r="L55" s="46">
        <f>MAX(J55,0)</f>
        <v>12800</v>
      </c>
      <c r="M55" s="46">
        <f>MIN(J55,0)</f>
        <v>0</v>
      </c>
    </row>
    <row r="56">
      <c r="B56" s="43" t="str">
        <f>Report!$B$14</f>
        <v>Quality assurance</v>
      </c>
      <c r="D56" s="46">
        <f>Report!$I$14</f>
        <v>21660</v>
      </c>
      <c r="F56" s="47">
        <f>ABS(D56)+ROW()/1000000000</f>
        <v>21660.000000056</v>
      </c>
      <c r="H56" s="43" t="str">
        <f>INDEX($B$51:$B$67,MATCH(LARGE($F$51:$F$67,ROWS(H$51:H56)),$F$51:$F$67,0))</f>
        <v>Test devices</v>
      </c>
      <c r="J56" s="46">
        <f>INDEX($D$51:$D$67,MATCH(LARGE($F$51:$F$67,ROWS(H$51:H56)),$F$51:$F$67,0))</f>
        <v>5040</v>
      </c>
      <c r="L56" s="46">
        <f>MAX(J56,0)</f>
        <v>5040</v>
      </c>
      <c r="M56" s="46">
        <f>MIN(J56,0)</f>
        <v>0</v>
      </c>
    </row>
    <row r="57">
      <c r="B57" s="43" t="str">
        <f>Report!$B$15</f>
        <v>Cloud &amp; DevOps</v>
      </c>
      <c r="D57" s="46">
        <f>Report!$I$15</f>
        <v>3625</v>
      </c>
      <c r="F57" s="47">
        <f>ABS(D57)+ROW()/1000000000</f>
        <v>3625.000000057</v>
      </c>
      <c r="H57" s="43" t="inlineStr">
        <is>
          <t>All other lines</t>
        </is>
      </c>
      <c r="J57" s="46">
        <f>ForecastVariance-SUM(J51:J56)</f>
        <v>5445</v>
      </c>
      <c r="L57" s="46">
        <f>MAX(J57,0)</f>
        <v>5445</v>
      </c>
      <c r="M57" s="46">
        <f>MIN(J57,0)</f>
        <v>0</v>
      </c>
    </row>
    <row r="58">
      <c r="B58" s="43" t="str">
        <f>Report!$B$16</f>
        <v>Engineering lead</v>
      </c>
      <c r="D58" s="46">
        <f>Report!$I$16</f>
        <v>0</v>
      </c>
      <c r="F58" s="47">
        <f>ABS(D58)+ROW()/1000000000</f>
        <v>5.8e-08</v>
      </c>
    </row>
    <row r="59">
      <c r="B59" s="43" t="str">
        <f>Report!$B$20</f>
        <v>User research &amp; testing</v>
      </c>
      <c r="D59" s="46">
        <f>Report!$I$20</f>
        <v>0</v>
      </c>
      <c r="F59" s="47">
        <f>ABS(D59)+ROW()/1000000000</f>
        <v>5.9e-08</v>
      </c>
    </row>
    <row r="60">
      <c r="B60" s="43" t="str">
        <f>Report!$B$21</f>
        <v>Security &amp; accessibility</v>
      </c>
      <c r="D60" s="46">
        <f>Report!$I$21</f>
        <v>2500</v>
      </c>
      <c r="F60" s="47">
        <f>ABS(D60)+ROW()/1000000000</f>
        <v>2500.00000006</v>
      </c>
    </row>
    <row r="61">
      <c r="B61" s="43" t="str">
        <f>Report!$B$22</f>
        <v>Payment certification</v>
      </c>
      <c r="D61" s="46">
        <f>Report!$I$22</f>
        <v>1700</v>
      </c>
      <c r="F61" s="47">
        <f>ABS(D61)+ROW()/1000000000</f>
        <v>1700.000000061</v>
      </c>
    </row>
    <row r="62">
      <c r="B62" s="43" t="str">
        <f>Report!$B$23</f>
        <v>Test devices</v>
      </c>
      <c r="D62" s="46">
        <f>Report!$I$23</f>
        <v>5040</v>
      </c>
      <c r="F62" s="47">
        <f>ABS(D62)+ROW()/1000000000</f>
        <v>5040.000000062</v>
      </c>
    </row>
    <row r="63">
      <c r="B63" s="43" t="str">
        <f>Report!$B$24</f>
        <v>Launch content</v>
      </c>
      <c r="D63" s="46">
        <f>Report!$I$24</f>
        <v>0</v>
      </c>
      <c r="F63" s="47">
        <f>ABS(D63)+ROW()/1000000000</f>
        <v>6.3e-08</v>
      </c>
    </row>
    <row r="64">
      <c r="B64" s="43" t="str">
        <f>Report!$B$28</f>
        <v>Cloud hosting</v>
      </c>
      <c r="D64" s="46">
        <f>Report!$I$28</f>
        <v>12800</v>
      </c>
      <c r="F64" s="47">
        <f>ABS(D64)+ROW()/1000000000</f>
        <v>12800.000000064</v>
      </c>
    </row>
    <row r="65">
      <c r="B65" s="43" t="str">
        <f>Report!$B$29</f>
        <v>Software &amp; tools</v>
      </c>
      <c r="D65" s="46">
        <f>Report!$I$29</f>
        <v>-1830</v>
      </c>
      <c r="F65" s="47">
        <f>ABS(D65)+ROW()/1000000000</f>
        <v>1830.000000065</v>
      </c>
    </row>
    <row r="66">
      <c r="B66" s="43" t="str">
        <f>Report!$B$30</f>
        <v>Third-party services</v>
      </c>
      <c r="D66" s="46">
        <f>Report!$I$30</f>
        <v>230</v>
      </c>
      <c r="F66" s="47">
        <f>ABS(D66)+ROW()/1000000000</f>
        <v>230.000000066</v>
      </c>
    </row>
    <row r="67">
      <c r="B67" s="43" t="str">
        <f>Report!$B$34</f>
        <v>Approved changes</v>
      </c>
      <c r="D67" s="46">
        <f>Report!$I$34</f>
        <v>59500</v>
      </c>
      <c r="F67" s="47">
        <f>ABS(D67)+ROW()/1000000000</f>
        <v>59500.000000067</v>
      </c>
    </row>
    <row r="69">
      <c r="B69" s="1" t="inlineStr">
        <is>
          <t>Contingency reserve</t>
        </is>
      </c>
    </row>
    <row r="70">
      <c r="B70" s="43" t="inlineStr">
        <is>
          <t>Approved changes</t>
        </is>
      </c>
      <c r="D70" s="46">
        <f>MAX(0,ChangesUsed)</f>
        <v>59500</v>
      </c>
    </row>
    <row r="71">
      <c r="B71" s="43" t="inlineStr">
        <is>
          <t>Overruns</t>
        </is>
      </c>
      <c r="D71" s="46">
        <f>MAX(0,OverrunUsed)</f>
        <v>64110</v>
      </c>
    </row>
    <row r="72">
      <c r="B72" s="43" t="inlineStr">
        <is>
          <t>Left</t>
        </is>
      </c>
      <c r="D72" s="46">
        <f>MAX(0,ContingencyLeft)</f>
        <v>54145</v>
      </c>
    </row>
    <row r="73">
      <c r="B73" s="43" t="inlineStr">
        <is>
          <t>Reserve</t>
        </is>
      </c>
      <c r="D73" s="46">
        <f>Reserve</f>
        <v>177755</v>
      </c>
    </row>
  </sheetData>
  <sheetProtection selectLockedCells="0" selectUnlockedCells="0" sheet="1" objects="0" insertRows="1" insertHyperlinks="1" autoFilter="1" scenarios="0" formatColumns="0" deleteColumns="1" insertColumns="1" pivotTables="1" deleteRows="1" formatCells="1" formatRows="0" sort="1"/>
  <conditionalFormatting sqref="B5:L5">
    <cfRule type="expression" priority="1" dxfId="3" stopIfTrue="0">
      <formula>$D$47="Green"</formula>
    </cfRule>
    <cfRule type="expression" priority="2" dxfId="4" stopIfTrue="0">
      <formula>$D$47="Amber"</formula>
    </cfRule>
    <cfRule type="expression" priority="3" dxfId="5" stopIfTrue="0">
      <formula>$D$47="Red"</formula>
    </cfRule>
  </conditionalFormatting>
  <conditionalFormatting sqref="B6">
    <cfRule type="expression" priority="4" dxfId="6" stopIfTrue="0">
      <formula>OR($D$48&gt;0,$H$48&lt;&gt;"Current forecast")</formula>
    </cfRule>
  </conditionalFormatting>
  <conditionalFormatting sqref="H9">
    <cfRule type="cellIs" priority="5" operator="lessThan" dxfId="0">
      <formula>0</formula>
    </cfRule>
  </conditionalFormatting>
  <conditionalFormatting sqref="F9">
    <cfRule type="expression" priority="6" dxfId="0" stopIfTrue="0">
      <formula>$F$9&gt;$B$9</formula>
    </cfRule>
  </conditionalFormatting>
  <conditionalFormatting sqref="J9">
    <cfRule type="expression" priority="7" dxfId="0" stopIfTrue="0">
      <formula>$L$48&gt;0</formula>
    </cfRule>
  </conditionalFormatting>
  <conditionalFormatting sqref="L9">
    <cfRule type="cellIs" priority="8" operator="lessThan" dxfId="0">
      <formula>0.995</formula>
    </cfRule>
  </conditionalFormatting>
  <conditionalFormatting sqref="L40">
    <cfRule type="cellIs" priority="9" operator="lessThan" dxfId="0">
      <formula>0</formula>
    </cfRule>
  </conditionalFormatting>
  <conditionalFormatting sqref="L42">
    <cfRule type="cellIs" priority="10" operator="greaterThan" dxfId="0">
      <formula>0</formula>
    </cfRule>
  </conditionalFormatting>
  <printOptions horizontalCentered="1"/>
  <pageMargins left="0.45" right="0.45" top="0.6" bottom="0.6" header="0.5" footer="0.5"/>
  <pageSetup orientation="landscape" paperSize="9" fitToHeight="1"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7324D"/>
    <outlinePr summaryBelow="1" summaryRight="1"/>
    <pageSetUpPr fitToPage="1"/>
  </sheetPr>
  <dimension ref="B2:L65"/>
  <sheetViews>
    <sheetView showGridLines="0" zoomScale="100" workbookViewId="0">
      <pane xSplit="2" ySplit="6" topLeftCell="C7" activePane="bottomRight" state="frozen"/>
      <selection pane="topRight" activeCell="A1" sqref="A1"/>
      <selection pane="bottomLeft"/>
      <selection pane="bottomRight" activeCell="A1" sqref="A1"/>
    </sheetView>
  </sheetViews>
  <sheetFormatPr baseColWidth="8" defaultRowHeight="15" customHeight="1"/>
  <cols>
    <col width="2.5" customWidth="1" min="1" max="1"/>
    <col width="34" customWidth="1" min="2" max="2"/>
    <col width="13" customWidth="1" min="3" max="3"/>
    <col width="13" customWidth="1" min="4" max="4"/>
    <col width="13" customWidth="1" min="5" max="5"/>
    <col width="13" customWidth="1" min="6" max="6"/>
    <col width="13" customWidth="1" min="7" max="7"/>
    <col width="13" customWidth="1" min="8" max="8"/>
    <col width="13" customWidth="1" min="9" max="9"/>
    <col width="9" customWidth="1" min="10" max="10"/>
    <col width="2.5" customWidth="1" min="11" max="11"/>
    <col width="74" customWidth="1" min="12" max="12"/>
  </cols>
  <sheetData>
    <row r="1" ht="10" customHeight="1"/>
    <row r="2" ht="30" customHeight="1">
      <c r="B2" s="49" t="inlineStr">
        <is>
          <t>Budget report</t>
        </is>
      </c>
    </row>
    <row r="3" ht="18" customHeight="1">
      <c r="B3" s="24" t="str">
        <f>"Budget, actuals and forecast by cost line, at the end of "&amp;TEXT(ActualsThrough,"mmmm yyyy")&amp;". "&amp;Currency&amp;"."</f>
        <v>Budget, actuals and forecast by cost line, at the end of September 2026. USD.</v>
      </c>
    </row>
    <row r="5">
      <c r="D5" s="50" t="inlineStr">
        <is>
          <t>To date</t>
        </is>
      </c>
      <c r="E5" s="51" t="n"/>
      <c r="F5" s="51" t="n"/>
      <c r="G5" s="50" t="inlineStr">
        <is>
          <t>At completion</t>
        </is>
      </c>
      <c r="H5" s="51" t="n"/>
      <c r="I5" s="51" t="n"/>
      <c r="J5" s="51" t="n"/>
      <c r="L5" s="52" t="inlineStr">
        <is>
          <t>Commentary</t>
        </is>
      </c>
    </row>
    <row r="6" ht="22" customHeight="1">
      <c r="B6" s="53" t="inlineStr">
        <is>
          <t>Cost line</t>
        </is>
      </c>
      <c r="C6" s="54" t="inlineStr">
        <is>
          <t>Budget</t>
        </is>
      </c>
      <c r="D6" s="54" t="inlineStr">
        <is>
          <t>Plan</t>
        </is>
      </c>
      <c r="E6" s="54" t="inlineStr">
        <is>
          <t>Actual</t>
        </is>
      </c>
      <c r="F6" s="54" t="inlineStr">
        <is>
          <t>Over (under)</t>
        </is>
      </c>
      <c r="G6" s="54" t="inlineStr">
        <is>
          <t>Still to spend</t>
        </is>
      </c>
      <c r="H6" s="54" t="inlineStr">
        <is>
          <t>Forecast</t>
        </is>
      </c>
      <c r="I6" s="54" t="inlineStr">
        <is>
          <t>Over (under)</t>
        </is>
      </c>
      <c r="J6" s="54" t="inlineStr">
        <is>
          <t>%</t>
        </is>
      </c>
      <c r="K6" s="55" t="n"/>
      <c r="L6" s="53" t="inlineStr">
        <is>
          <t>What changed</t>
        </is>
      </c>
    </row>
    <row r="8" ht="20" customHeight="1">
      <c r="B8" s="42" t="inlineStr">
        <is>
          <t>Team</t>
        </is>
      </c>
    </row>
    <row r="9">
      <c r="B9" s="56" t="str">
        <f>Calc!$B$101</f>
        <v>Product management</v>
      </c>
      <c r="C9" s="57">
        <f>SUM(Calc!$F$101:$T$101)</f>
        <v>159500</v>
      </c>
      <c r="D9" s="57">
        <f>SUMPRODUCT(Calc!$F$101:$T$101,Closed)</f>
        <v>87000</v>
      </c>
      <c r="E9" s="57">
        <f>SUM(Calc!$F$122:$T$122)</f>
        <v>87000</v>
      </c>
      <c r="F9" s="57">
        <f>E9-D9</f>
        <v>0</v>
      </c>
      <c r="G9" s="57">
        <f>SUM(Calc!$F$143:$T$143)</f>
        <v>72500</v>
      </c>
      <c r="H9" s="57">
        <f>E9+G9</f>
        <v>159500</v>
      </c>
      <c r="I9" s="57">
        <f>H9-C9</f>
        <v>0</v>
      </c>
      <c r="J9" s="58">
        <f>IF(C9=0,"",I9/C9)</f>
        <v>0</v>
      </c>
      <c r="L9" s="59" t="n"/>
    </row>
    <row r="10">
      <c r="B10" s="56" t="str">
        <f>Calc!$B$102</f>
        <v>Product design</v>
      </c>
      <c r="C10" s="57">
        <f>SUM(Calc!$F$102:$T$102)</f>
        <v>143750</v>
      </c>
      <c r="D10" s="57">
        <f>SUMPRODUCT(Calc!$F$102:$T$102,Closed)</f>
        <v>100000</v>
      </c>
      <c r="E10" s="57">
        <f>SUM(Calc!$F$123:$T$123)</f>
        <v>84375</v>
      </c>
      <c r="F10" s="57">
        <f>E10-D10</f>
        <v>-15625</v>
      </c>
      <c r="G10" s="57">
        <f>SUM(Calc!$F$144:$T$144)</f>
        <v>37500</v>
      </c>
      <c r="H10" s="57">
        <f>E10+G10</f>
        <v>121875</v>
      </c>
      <c r="I10" s="57">
        <f>H10-C10</f>
        <v>-21875</v>
      </c>
      <c r="J10" s="58">
        <f>IF(C10=0,"",I10/C10)</f>
        <v>-0.15217391304347827</v>
      </c>
      <c r="L10" s="59" t="inlineStr">
        <is>
          <t>Second designer started mid-May; one designer at 75% on another project since July</t>
        </is>
      </c>
    </row>
    <row r="11">
      <c r="B11" s="56" t="str">
        <f>Calc!$B$103</f>
        <v>iOS development</v>
      </c>
      <c r="C11" s="57">
        <f>SUM(Calc!$F$103:$T$103)</f>
        <v>224640</v>
      </c>
      <c r="D11" s="57">
        <f>SUMPRODUCT(Calc!$F$103:$T$103,Closed)</f>
        <v>98280</v>
      </c>
      <c r="E11" s="57">
        <f>SUM(Calc!$F$124:$T$124)</f>
        <v>97500</v>
      </c>
      <c r="F11" s="57">
        <f>E11-D11</f>
        <v>-780</v>
      </c>
      <c r="G11" s="57">
        <f>SUM(Calc!$F$145:$T$145)</f>
        <v>126360</v>
      </c>
      <c r="H11" s="57">
        <f>E11+G11</f>
        <v>223860</v>
      </c>
      <c r="I11" s="57">
        <f>H11-C11</f>
        <v>-780</v>
      </c>
      <c r="J11" s="58">
        <f>IF(C11=0,"",I11/C11)</f>
        <v>-0.003472222222222222</v>
      </c>
      <c r="L11" s="59" t="n"/>
    </row>
    <row r="12">
      <c r="B12" s="56" t="str">
        <f>Calc!$B$104</f>
        <v>Android development</v>
      </c>
      <c r="C12" s="57">
        <f>SUM(Calc!$F$104:$T$104)</f>
        <v>218880</v>
      </c>
      <c r="D12" s="57">
        <f>SUMPRODUCT(Calc!$F$104:$T$104,Closed)</f>
        <v>95760</v>
      </c>
      <c r="E12" s="57">
        <f>SUM(Calc!$F$125:$T$125)</f>
        <v>109440</v>
      </c>
      <c r="F12" s="57">
        <f>E12-D12</f>
        <v>13680</v>
      </c>
      <c r="G12" s="57">
        <f>SUM(Calc!$F$146:$T$146)</f>
        <v>150480</v>
      </c>
      <c r="H12" s="57">
        <f>E12+G12</f>
        <v>259920</v>
      </c>
      <c r="I12" s="57">
        <f>H12-C12</f>
        <v>41040</v>
      </c>
      <c r="J12" s="58">
        <f>IF(C12=0,"",I12/C12)</f>
        <v>0.1875</v>
      </c>
      <c r="L12" s="59" t="inlineStr">
        <is>
          <t>Extra contractor since August to recover the Android delay, kept until launch</t>
        </is>
      </c>
    </row>
    <row r="13">
      <c r="B13" s="56" t="str">
        <f>Calc!$B$105</f>
        <v>Backend &amp; integrations</v>
      </c>
      <c r="C13" s="57">
        <f>SUM(Calc!$F$105:$T$105)</f>
        <v>329000</v>
      </c>
      <c r="D13" s="57">
        <f>SUMPRODUCT(Calc!$F$105:$T$105,Closed)</f>
        <v>161000</v>
      </c>
      <c r="E13" s="57">
        <f>SUM(Calc!$F$126:$T$126)</f>
        <v>161000</v>
      </c>
      <c r="F13" s="57">
        <f>E13-D13</f>
        <v>0</v>
      </c>
      <c r="G13" s="57">
        <f>SUM(Calc!$F$147:$T$147)</f>
        <v>168000</v>
      </c>
      <c r="H13" s="57">
        <f>E13+G13</f>
        <v>329000</v>
      </c>
      <c r="I13" s="57">
        <f>H13-C13</f>
        <v>0</v>
      </c>
      <c r="J13" s="58">
        <f>IF(C13=0,"",I13/C13)</f>
        <v>0</v>
      </c>
      <c r="L13" s="59" t="n"/>
    </row>
    <row r="14">
      <c r="B14" s="56" t="str">
        <f>Calc!$B$106</f>
        <v>Quality assurance</v>
      </c>
      <c r="C14" s="57">
        <f>SUM(Calc!$F$106:$T$106)</f>
        <v>126000</v>
      </c>
      <c r="D14" s="57">
        <f>SUMPRODUCT(Calc!$F$106:$T$106,Closed)</f>
        <v>45360</v>
      </c>
      <c r="E14" s="57">
        <f>SUM(Calc!$F$127:$T$127)</f>
        <v>52080</v>
      </c>
      <c r="F14" s="57">
        <f>E14-D14</f>
        <v>6720</v>
      </c>
      <c r="G14" s="57">
        <f>SUM(Calc!$F$148:$T$148)</f>
        <v>95580</v>
      </c>
      <c r="H14" s="57">
        <f>E14+G14</f>
        <v>147660</v>
      </c>
      <c r="I14" s="57">
        <f>H14-C14</f>
        <v>21660</v>
      </c>
      <c r="J14" s="58">
        <f>IF(C14=0,"",I14/C14)</f>
        <v>0.1719047619047619</v>
      </c>
      <c r="L14" s="59" t="inlineStr">
        <is>
          <t>Second tester since September; TestHarbor's new day rate from October</t>
        </is>
      </c>
    </row>
    <row r="15">
      <c r="B15" s="56" t="str">
        <f>Calc!$B$107</f>
        <v>Cloud &amp; DevOps</v>
      </c>
      <c r="C15" s="57">
        <f>SUM(Calc!$F$107:$T$107)</f>
        <v>90625</v>
      </c>
      <c r="D15" s="57">
        <f>SUMPRODUCT(Calc!$F$107:$T$107,Closed)</f>
        <v>32625</v>
      </c>
      <c r="E15" s="57">
        <f>SUM(Calc!$F$128:$T$128)</f>
        <v>36250</v>
      </c>
      <c r="F15" s="57">
        <f>E15-D15</f>
        <v>3625</v>
      </c>
      <c r="G15" s="57">
        <f>SUM(Calc!$F$149:$T$149)</f>
        <v>58000</v>
      </c>
      <c r="H15" s="57">
        <f>E15+G15</f>
        <v>94250</v>
      </c>
      <c r="I15" s="57">
        <f>H15-C15</f>
        <v>3625</v>
      </c>
      <c r="J15" s="58">
        <f>IF(C15=0,"",I15/C15)</f>
        <v>0.04</v>
      </c>
      <c r="L15" s="59" t="inlineStr">
        <is>
          <t>Extra DevOps time for the September load tests</t>
        </is>
      </c>
    </row>
    <row r="16">
      <c r="B16" s="56" t="str">
        <f>Calc!$B$108</f>
        <v>Engineering lead</v>
      </c>
      <c r="C16" s="57">
        <f>SUM(Calc!$F$108:$T$108)</f>
        <v>173250</v>
      </c>
      <c r="D16" s="57">
        <f>SUMPRODUCT(Calc!$F$108:$T$108,Closed)</f>
        <v>90750</v>
      </c>
      <c r="E16" s="57">
        <f>SUM(Calc!$F$129:$T$129)</f>
        <v>90750</v>
      </c>
      <c r="F16" s="57">
        <f>E16-D16</f>
        <v>0</v>
      </c>
      <c r="G16" s="57">
        <f>SUM(Calc!$F$150:$T$150)</f>
        <v>82500</v>
      </c>
      <c r="H16" s="57">
        <f>E16+G16</f>
        <v>173250</v>
      </c>
      <c r="I16" s="57">
        <f>H16-C16</f>
        <v>0</v>
      </c>
      <c r="J16" s="58">
        <f>IF(C16=0,"",I16/C16)</f>
        <v>0</v>
      </c>
      <c r="L16" s="59" t="n"/>
    </row>
    <row r="17">
      <c r="B17" s="60" t="inlineStr">
        <is>
          <t>Team, total</t>
        </is>
      </c>
      <c r="C17" s="61">
        <f>SUM(C9:C16)</f>
        <v>1465645</v>
      </c>
      <c r="D17" s="61">
        <f>SUM(D9:D16)</f>
        <v>710775</v>
      </c>
      <c r="E17" s="61">
        <f>SUM(E9:E16)</f>
        <v>718395</v>
      </c>
      <c r="F17" s="61">
        <f>SUM(F9:F16)</f>
        <v>7620</v>
      </c>
      <c r="G17" s="61">
        <f>SUM(G9:G16)</f>
        <v>790920</v>
      </c>
      <c r="H17" s="61">
        <f>SUM(H9:H16)</f>
        <v>1509315</v>
      </c>
      <c r="I17" s="61">
        <f>SUM(I9:I16)</f>
        <v>43670</v>
      </c>
      <c r="J17" s="62">
        <f>IF(C17=0,"",I17/C17)</f>
        <v>0.02979575545237762</v>
      </c>
    </row>
    <row r="19" ht="20" customHeight="1">
      <c r="B19" s="42" t="inlineStr">
        <is>
          <t>Purchases</t>
        </is>
      </c>
    </row>
    <row r="20">
      <c r="B20" s="56" t="str">
        <f>Calc!$B$109</f>
        <v>User research &amp; testing</v>
      </c>
      <c r="C20" s="57">
        <f>SUM(Calc!$F$109:$T$109)</f>
        <v>42000</v>
      </c>
      <c r="D20" s="57">
        <f>SUMPRODUCT(Calc!$F$109:$T$109,Closed)</f>
        <v>24000</v>
      </c>
      <c r="E20" s="57">
        <f>SUM(Calc!$F$130:$T$130)</f>
        <v>24000</v>
      </c>
      <c r="F20" s="57">
        <f>E20-D20</f>
        <v>0</v>
      </c>
      <c r="G20" s="57">
        <f>SUM(Calc!$F$151:$T$151)</f>
        <v>18000</v>
      </c>
      <c r="H20" s="57">
        <f>E20+G20</f>
        <v>42000</v>
      </c>
      <c r="I20" s="57">
        <f>H20-C20</f>
        <v>0</v>
      </c>
      <c r="J20" s="58">
        <f>IF(C20=0,"",I20/C20)</f>
        <v>0</v>
      </c>
      <c r="L20" s="59" t="n"/>
    </row>
    <row r="21">
      <c r="B21" s="56" t="str">
        <f>Calc!$B$110</f>
        <v>Security &amp; accessibility</v>
      </c>
      <c r="C21" s="57">
        <f>SUM(Calc!$F$110:$T$110)</f>
        <v>46000</v>
      </c>
      <c r="D21" s="57">
        <f>SUMPRODUCT(Calc!$F$110:$T$110,Closed)</f>
        <v>0</v>
      </c>
      <c r="E21" s="57">
        <f>SUM(Calc!$F$131:$T$131)</f>
        <v>0</v>
      </c>
      <c r="F21" s="57">
        <f>E21-D21</f>
        <v>0</v>
      </c>
      <c r="G21" s="57">
        <f>SUM(Calc!$F$152:$T$152)</f>
        <v>48500</v>
      </c>
      <c r="H21" s="57">
        <f>E21+G21</f>
        <v>48500</v>
      </c>
      <c r="I21" s="57">
        <f>H21-C21</f>
        <v>2500</v>
      </c>
      <c r="J21" s="58">
        <f>IF(C21=0,"",I21/C21)</f>
        <v>0.05434782608695652</v>
      </c>
      <c r="L21" s="59" t="inlineStr">
        <is>
          <t>Penetration test quote came in higher than the estimate</t>
        </is>
      </c>
    </row>
    <row r="22">
      <c r="B22" s="56" t="str">
        <f>Calc!$B$111</f>
        <v>Payment certification</v>
      </c>
      <c r="C22" s="57">
        <f>SUM(Calc!$F$111:$T$111)</f>
        <v>9500</v>
      </c>
      <c r="D22" s="57">
        <f>SUMPRODUCT(Calc!$F$111:$T$111,Closed)</f>
        <v>9500</v>
      </c>
      <c r="E22" s="57">
        <f>SUM(Calc!$F$132:$T$132)</f>
        <v>11200</v>
      </c>
      <c r="F22" s="57">
        <f>E22-D22</f>
        <v>1700</v>
      </c>
      <c r="G22" s="57">
        <f>SUM(Calc!$F$153:$T$153)</f>
        <v>0</v>
      </c>
      <c r="H22" s="57">
        <f>E22+G22</f>
        <v>11200</v>
      </c>
      <c r="I22" s="57">
        <f>H22-C22</f>
        <v>1700</v>
      </c>
      <c r="J22" s="58">
        <f>IF(C22=0,"",I22/C22)</f>
        <v>0.17894736842105263</v>
      </c>
      <c r="L22" s="59" t="inlineStr">
        <is>
          <t>Wallet payments (CR-01) widened the compliance review</t>
        </is>
      </c>
    </row>
    <row r="23">
      <c r="B23" s="56" t="str">
        <f>Calc!$B$112</f>
        <v>Test devices</v>
      </c>
      <c r="C23" s="57">
        <f>SUM(Calc!$F$112:$T$112)</f>
        <v>16000</v>
      </c>
      <c r="D23" s="57">
        <f>SUMPRODUCT(Calc!$F$112:$T$112,Closed)</f>
        <v>16000</v>
      </c>
      <c r="E23" s="57">
        <f>SUM(Calc!$F$133:$T$133)</f>
        <v>17240</v>
      </c>
      <c r="F23" s="57">
        <f>E23-D23</f>
        <v>1240</v>
      </c>
      <c r="G23" s="57">
        <f>SUM(Calc!$F$154:$T$154)</f>
        <v>3800</v>
      </c>
      <c r="H23" s="57">
        <f>E23+G23</f>
        <v>21040</v>
      </c>
      <c r="I23" s="57">
        <f>H23-C23</f>
        <v>5040</v>
      </c>
      <c r="J23" s="58">
        <f>IF(C23=0,"",I23/C23)</f>
        <v>0.315</v>
      </c>
      <c r="L23" s="59" t="inlineStr">
        <is>
          <t>Two extra older Android phones; older and foldable phones added after the first beta</t>
        </is>
      </c>
    </row>
    <row r="24">
      <c r="B24" s="56" t="str">
        <f>Calc!$B$113</f>
        <v>Launch content</v>
      </c>
      <c r="C24" s="57">
        <f>SUM(Calc!$F$113:$T$113)</f>
        <v>22000</v>
      </c>
      <c r="D24" s="57">
        <f>SUMPRODUCT(Calc!$F$113:$T$113,Closed)</f>
        <v>0</v>
      </c>
      <c r="E24" s="57">
        <f>SUM(Calc!$F$134:$T$134)</f>
        <v>0</v>
      </c>
      <c r="F24" s="57">
        <f>E24-D24</f>
        <v>0</v>
      </c>
      <c r="G24" s="57">
        <f>SUM(Calc!$F$155:$T$155)</f>
        <v>22000</v>
      </c>
      <c r="H24" s="57">
        <f>E24+G24</f>
        <v>22000</v>
      </c>
      <c r="I24" s="57">
        <f>H24-C24</f>
        <v>0</v>
      </c>
      <c r="J24" s="58">
        <f>IF(C24=0,"",I24/C24)</f>
        <v>0</v>
      </c>
      <c r="L24" s="59" t="n"/>
    </row>
    <row r="25">
      <c r="B25" s="60" t="inlineStr">
        <is>
          <t>Purchases, total</t>
        </is>
      </c>
      <c r="C25" s="61">
        <f>SUM(C20:C24)</f>
        <v>135500</v>
      </c>
      <c r="D25" s="61">
        <f>SUM(D20:D24)</f>
        <v>49500</v>
      </c>
      <c r="E25" s="61">
        <f>SUM(E20:E24)</f>
        <v>52440</v>
      </c>
      <c r="F25" s="61">
        <f>SUM(F20:F24)</f>
        <v>2940</v>
      </c>
      <c r="G25" s="61">
        <f>SUM(G20:G24)</f>
        <v>92300</v>
      </c>
      <c r="H25" s="61">
        <f>SUM(H20:H24)</f>
        <v>144740</v>
      </c>
      <c r="I25" s="61">
        <f>SUM(I20:I24)</f>
        <v>9240</v>
      </c>
      <c r="J25" s="62">
        <f>IF(C25=0,"",I25/C25)</f>
        <v>0.06819188191881918</v>
      </c>
    </row>
    <row r="27" ht="20" customHeight="1">
      <c r="B27" s="42" t="inlineStr">
        <is>
          <t>Platform</t>
        </is>
      </c>
    </row>
    <row r="28">
      <c r="B28" s="56" t="str">
        <f>Calc!$B$114</f>
        <v>Cloud hosting</v>
      </c>
      <c r="C28" s="57">
        <f>SUM(Calc!$F$114:$T$114)</f>
        <v>70300</v>
      </c>
      <c r="D28" s="57">
        <f>SUMPRODUCT(Calc!$F$114:$T$114,Closed)</f>
        <v>19300</v>
      </c>
      <c r="E28" s="57">
        <f>SUM(Calc!$F$135:$T$135)</f>
        <v>25700</v>
      </c>
      <c r="F28" s="57">
        <f>E28-D28</f>
        <v>6400</v>
      </c>
      <c r="G28" s="57">
        <f>SUM(Calc!$F$156:$T$156)</f>
        <v>57400</v>
      </c>
      <c r="H28" s="57">
        <f>E28+G28</f>
        <v>83100</v>
      </c>
      <c r="I28" s="57">
        <f>H28-C28</f>
        <v>12800</v>
      </c>
      <c r="J28" s="58">
        <f>IF(C28=0,"",I28/C28)</f>
        <v>0.18207681365576103</v>
      </c>
      <c r="L28" s="59" t="inlineStr">
        <is>
          <t>Larger test environment and load tests during the build</t>
        </is>
      </c>
    </row>
    <row r="29">
      <c r="B29" s="56" t="str">
        <f>Calc!$B$115</f>
        <v>Software &amp; tools</v>
      </c>
      <c r="C29" s="57">
        <f>SUM(Calc!$F$115:$T$115)</f>
        <v>54000</v>
      </c>
      <c r="D29" s="57">
        <f>SUMPRODUCT(Calc!$F$115:$T$115,Closed)</f>
        <v>24400</v>
      </c>
      <c r="E29" s="57">
        <f>SUM(Calc!$F$136:$T$136)</f>
        <v>23770</v>
      </c>
      <c r="F29" s="57">
        <f>E29-D29</f>
        <v>-630</v>
      </c>
      <c r="G29" s="57">
        <f>SUM(Calc!$F$157:$T$157)</f>
        <v>28400</v>
      </c>
      <c r="H29" s="57">
        <f>E29+G29</f>
        <v>52170</v>
      </c>
      <c r="I29" s="57">
        <f>H29-C29</f>
        <v>-1830</v>
      </c>
      <c r="J29" s="58">
        <f>IF(C29=0,"",I29/C29)</f>
        <v>-0.03388888888888889</v>
      </c>
      <c r="L29" s="59" t="inlineStr">
        <is>
          <t>Two unused design seats cancelled</t>
        </is>
      </c>
    </row>
    <row r="30">
      <c r="B30" s="56" t="str">
        <f>Calc!$B$116</f>
        <v>Third-party services</v>
      </c>
      <c r="C30" s="57">
        <f>SUM(Calc!$F$116:$T$116)</f>
        <v>21800</v>
      </c>
      <c r="D30" s="57">
        <f>SUMPRODUCT(Calc!$F$116:$T$116,Closed)</f>
        <v>6000</v>
      </c>
      <c r="E30" s="57">
        <f>SUM(Calc!$F$137:$T$137)</f>
        <v>6230</v>
      </c>
      <c r="F30" s="57">
        <f>E30-D30</f>
        <v>230</v>
      </c>
      <c r="G30" s="57">
        <f>SUM(Calc!$F$158:$T$158)</f>
        <v>15800</v>
      </c>
      <c r="H30" s="57">
        <f>E30+G30</f>
        <v>22030</v>
      </c>
      <c r="I30" s="57">
        <f>H30-C30</f>
        <v>230</v>
      </c>
      <c r="J30" s="58">
        <f>IF(C30=0,"",I30/C30)</f>
        <v>0.01055045871559633</v>
      </c>
      <c r="L30" s="59" t="n"/>
    </row>
    <row r="31">
      <c r="B31" s="60" t="inlineStr">
        <is>
          <t>Platform, total</t>
        </is>
      </c>
      <c r="C31" s="61">
        <f>SUM(C28:C30)</f>
        <v>146100</v>
      </c>
      <c r="D31" s="61">
        <f>SUM(D28:D30)</f>
        <v>49700</v>
      </c>
      <c r="E31" s="61">
        <f>SUM(E28:E30)</f>
        <v>55700</v>
      </c>
      <c r="F31" s="61">
        <f>SUM(F28:F30)</f>
        <v>6000</v>
      </c>
      <c r="G31" s="61">
        <f>SUM(G28:G30)</f>
        <v>101600</v>
      </c>
      <c r="H31" s="61">
        <f>SUM(H28:H30)</f>
        <v>157300</v>
      </c>
      <c r="I31" s="61">
        <f>SUM(I28:I30)</f>
        <v>11200</v>
      </c>
      <c r="J31" s="62">
        <f>IF(C31=0,"",I31/C31)</f>
        <v>0.07665982203969883</v>
      </c>
    </row>
    <row r="33" ht="20" customHeight="1">
      <c r="B33" s="42" t="inlineStr">
        <is>
          <t>Changes</t>
        </is>
      </c>
    </row>
    <row r="34">
      <c r="B34" s="56" t="str">
        <f>Calc!$B$117</f>
        <v>Approved changes</v>
      </c>
      <c r="C34" s="57">
        <f>SUM(Calc!$F$117:$T$117)</f>
        <v>0</v>
      </c>
      <c r="D34" s="57">
        <f>SUMPRODUCT(Calc!$F$117:$T$117,Closed)</f>
        <v>0</v>
      </c>
      <c r="E34" s="57">
        <f>SUM(Calc!$F$138:$T$138)</f>
        <v>0</v>
      </c>
      <c r="F34" s="57">
        <f>E34-D34</f>
        <v>0</v>
      </c>
      <c r="G34" s="57">
        <f>SUM(Calc!$F$159:$T$159)</f>
        <v>59500</v>
      </c>
      <c r="H34" s="57">
        <f>E34+G34</f>
        <v>59500</v>
      </c>
      <c r="I34" s="57">
        <f>H34-C34</f>
        <v>59500</v>
      </c>
      <c r="J34" s="58" t="str">
        <f>IF(C34=0,"",I34/C34)</f>
        <v/>
      </c>
      <c r="L34" s="59" t="inlineStr">
        <is>
          <t>CR-01 wallet payments and CR-02 allergen info, funded from the contingency</t>
        </is>
      </c>
    </row>
    <row r="35">
      <c r="B35" s="60" t="inlineStr">
        <is>
          <t>Changes, total</t>
        </is>
      </c>
      <c r="C35" s="61">
        <f>SUM(C34:C34)</f>
        <v>0</v>
      </c>
      <c r="D35" s="61">
        <f>SUM(D34:D34)</f>
        <v>0</v>
      </c>
      <c r="E35" s="61">
        <f>SUM(E34:E34)</f>
        <v>0</v>
      </c>
      <c r="F35" s="61">
        <f>SUM(F34:F34)</f>
        <v>0</v>
      </c>
      <c r="G35" s="61">
        <f>SUM(G34:G34)</f>
        <v>59500</v>
      </c>
      <c r="H35" s="61">
        <f>SUM(H34:H34)</f>
        <v>59500</v>
      </c>
      <c r="I35" s="61">
        <f>SUM(I34:I34)</f>
        <v>59500</v>
      </c>
      <c r="J35" s="62" t="str">
        <f>IF(C35=0,"",I35/C35)</f>
        <v/>
      </c>
    </row>
    <row r="37" ht="22" customHeight="1">
      <c r="B37" s="63" t="inlineStr">
        <is>
          <t>Total project cost</t>
        </is>
      </c>
      <c r="C37" s="64">
        <f>C17+C25+C31+C35</f>
        <v>1747245</v>
      </c>
      <c r="D37" s="64">
        <f>D17+D25+D31+D35</f>
        <v>809975</v>
      </c>
      <c r="E37" s="64">
        <f>E17+E25+E31+E35</f>
        <v>826535</v>
      </c>
      <c r="F37" s="64">
        <f>F17+F25+F31+F35</f>
        <v>16560</v>
      </c>
      <c r="G37" s="64">
        <f>G17+G25+G31+G35</f>
        <v>1044320</v>
      </c>
      <c r="H37" s="64">
        <f>H17+H25+H31+H35</f>
        <v>1870855</v>
      </c>
      <c r="I37" s="64">
        <f>I17+I25+I31+I35</f>
        <v>123610</v>
      </c>
      <c r="J37" s="65">
        <f>IF(C37=0,"",I37/C37)</f>
        <v>0.07074565959553468</v>
      </c>
    </row>
    <row r="39" ht="22" customHeight="1">
      <c r="B39" s="39" t="inlineStr">
        <is>
          <t>Contingency</t>
        </is>
      </c>
      <c r="C39" s="40" t="n"/>
      <c r="D39" s="40" t="n"/>
      <c r="E39" s="40" t="n"/>
      <c r="F39" s="40" t="n"/>
      <c r="G39" s="40" t="n"/>
      <c r="H39" s="40" t="n"/>
      <c r="I39" s="40" t="n"/>
      <c r="J39" s="40" t="n"/>
    </row>
    <row r="40">
      <c r="B40" s="41" t="inlineStr">
        <is>
          <t>The reserve on top of the base budget, and what has used it.</t>
        </is>
      </c>
    </row>
    <row r="41" ht="20" customHeight="1">
      <c r="B41" s="53" t="n"/>
      <c r="C41" s="54" t="inlineStr">
        <is>
          <t>Amount</t>
        </is>
      </c>
      <c r="D41" s="54" t="inlineStr">
        <is>
          <t>Of the reserve</t>
        </is>
      </c>
    </row>
    <row r="42">
      <c r="B42" s="13" t="inlineStr">
        <is>
          <t>Approved budget</t>
        </is>
      </c>
      <c r="C42" s="57">
        <f>ApprovedBudget</f>
        <v>1925000</v>
      </c>
      <c r="D42" s="6" t="n"/>
    </row>
    <row r="43">
      <c r="B43" s="13" t="inlineStr">
        <is>
          <t>Base budget (without contingency)</t>
        </is>
      </c>
      <c r="C43" s="57">
        <f>BaseBudget</f>
        <v>1747245</v>
      </c>
      <c r="D43" s="6" t="n"/>
    </row>
    <row r="44">
      <c r="B44" s="13" t="inlineStr">
        <is>
          <t>Contingency reserve</t>
        </is>
      </c>
      <c r="C44" s="57">
        <f>ApprovedBudget-BaseBudget</f>
        <v>177755</v>
      </c>
      <c r="D44" s="66">
        <f>IF($C$44=0,0,C44/$C$44)</f>
        <v>1</v>
      </c>
    </row>
    <row r="45">
      <c r="B45" s="13" t="inlineStr">
        <is>
          <t>Used by approved changes</t>
        </is>
      </c>
      <c r="C45" s="57">
        <f>H34</f>
        <v>59500</v>
      </c>
      <c r="D45" s="66">
        <f>IF($C$44=0,0,C45/$C$44)</f>
        <v>0.3347303873308768</v>
      </c>
    </row>
    <row r="46">
      <c r="B46" s="13" t="inlineStr">
        <is>
          <t>Used by overruns on the plan</t>
        </is>
      </c>
      <c r="C46" s="57">
        <f>ForecastVariance-I34</f>
        <v>64110</v>
      </c>
      <c r="D46" s="66">
        <f>IF($C$44=0,0,C46/$C$44)</f>
        <v>0.36066496019802535</v>
      </c>
    </row>
    <row r="47">
      <c r="B47" s="60" t="inlineStr">
        <is>
          <t>Contingency left</t>
        </is>
      </c>
      <c r="C47" s="61">
        <f>ApprovedBudget-Forecast</f>
        <v>54145</v>
      </c>
      <c r="D47" s="67">
        <f>IF($C$44=0,0,C47/$C$44)</f>
        <v>0.30460465247109786</v>
      </c>
    </row>
    <row r="48">
      <c r="B48" s="13" t="str">
        <f>IF(IncludePending="Yes","Pending changes, in the forecast","Pending changes, not in the forecast")</f>
        <v>Pending changes, not in the forecast</v>
      </c>
      <c r="C48" s="57">
        <f>PendingTotal</f>
        <v>46000</v>
      </c>
      <c r="D48" s="6" t="n"/>
    </row>
    <row r="49">
      <c r="B49" s="11" t="inlineStr">
        <is>
          <t>Contingency left if they're approved</t>
        </is>
      </c>
      <c r="C49" s="17">
        <f>ContingencyLeft-IF(IncludePending="Yes",0,PendingTotal)</f>
        <v>8145</v>
      </c>
    </row>
    <row r="52" ht="22" customHeight="1">
      <c r="B52" s="39" t="inlineStr">
        <is>
          <t>Earned value: a second opinion</t>
        </is>
      </c>
      <c r="C52" s="40" t="n"/>
      <c r="D52" s="40" t="n"/>
      <c r="E52" s="40" t="n"/>
      <c r="F52" s="40" t="n"/>
      <c r="G52" s="40" t="n"/>
      <c r="H52" s="40" t="n"/>
      <c r="I52" s="40" t="n"/>
      <c r="J52" s="40" t="n"/>
    </row>
    <row r="53">
      <c r="B53" s="41" t="inlineStr">
        <is>
          <t>Compares the work done with the money spent. If the rest of the project performs like the months so far, where does it land?</t>
        </is>
      </c>
    </row>
    <row r="54" ht="20" customHeight="1">
      <c r="B54" s="53" t="inlineStr">
        <is>
          <t>Phase</t>
        </is>
      </c>
      <c r="C54" s="54" t="inlineStr">
        <is>
          <t>Budget</t>
        </is>
      </c>
      <c r="D54" s="54" t="inlineStr">
        <is>
          <t>Work done</t>
        </is>
      </c>
      <c r="E54" s="54" t="inlineStr">
        <is>
          <t>Earned value</t>
        </is>
      </c>
      <c r="F54" s="54" t="inlineStr">
        <is>
          <t>Plan to date</t>
        </is>
      </c>
    </row>
    <row r="55">
      <c r="B55" s="13" t="str">
        <f>INDEX(PhaseNames,1)</f>
        <v>Discovery</v>
      </c>
      <c r="C55" s="57">
        <f>SUMIFS(Calc!$F$118:$T$118,Calc!$F$10:$T$10,B55)</f>
        <v>48075</v>
      </c>
      <c r="D55" s="66">
        <f>INDEX(Progress,1)</f>
        <v>1</v>
      </c>
      <c r="E55" s="57">
        <f>C55*D55</f>
        <v>48075</v>
      </c>
      <c r="F55" s="57">
        <f>SUMIFS(Calc!$F$118:$T$118,Calc!$F$10:$T$10,B55,Closed,1)</f>
        <v>48075</v>
      </c>
    </row>
    <row r="56">
      <c r="B56" s="13" t="str">
        <f>INDEX(PhaseNames,2)</f>
        <v>Design</v>
      </c>
      <c r="C56" s="57">
        <f>SUMIFS(Calc!$F$118:$T$118,Calc!$F$10:$T$10,B56)</f>
        <v>208370</v>
      </c>
      <c r="D56" s="66">
        <f>INDEX(Progress,2)</f>
        <v>1</v>
      </c>
      <c r="E56" s="57">
        <f>C56*D56</f>
        <v>208370</v>
      </c>
      <c r="F56" s="57">
        <f>SUMIFS(Calc!$F$118:$T$118,Calc!$F$10:$T$10,B56,Closed,1)</f>
        <v>208370</v>
      </c>
    </row>
    <row r="57">
      <c r="B57" s="13" t="str">
        <f>INDEX(PhaseNames,3)</f>
        <v>Build</v>
      </c>
      <c r="C57" s="57">
        <f>SUMIFS(Calc!$F$118:$T$118,Calc!$F$10:$T$10,B57)</f>
        <v>905550</v>
      </c>
      <c r="D57" s="66">
        <f>INDEX(Progress,3)</f>
        <v>0.5</v>
      </c>
      <c r="E57" s="57">
        <f>C57*D57</f>
        <v>452775</v>
      </c>
      <c r="F57" s="57">
        <f>SUMIFS(Calc!$F$118:$T$118,Calc!$F$10:$T$10,B57,Closed,1)</f>
        <v>553530</v>
      </c>
    </row>
    <row r="58">
      <c r="B58" s="13" t="str">
        <f>INDEX(PhaseNames,4)</f>
        <v>Launch prep</v>
      </c>
      <c r="C58" s="57">
        <f>SUMIFS(Calc!$F$118:$T$118,Calc!$F$10:$T$10,B58)</f>
        <v>428700</v>
      </c>
      <c r="D58" s="66">
        <f>INDEX(Progress,4)</f>
        <v>0</v>
      </c>
      <c r="E58" s="57">
        <f>C58*D58</f>
        <v>0</v>
      </c>
      <c r="F58" s="57">
        <f>SUMIFS(Calc!$F$118:$T$118,Calc!$F$10:$T$10,B58,Closed,1)</f>
        <v>0</v>
      </c>
    </row>
    <row r="59">
      <c r="B59" s="13" t="str">
        <f>INDEX(PhaseNames,5)</f>
        <v>Hypercare</v>
      </c>
      <c r="C59" s="57">
        <f>SUMIFS(Calc!$F$118:$T$118,Calc!$F$10:$T$10,B59)</f>
        <v>156550</v>
      </c>
      <c r="D59" s="66">
        <f>INDEX(Progress,5)</f>
        <v>0</v>
      </c>
      <c r="E59" s="57">
        <f>C59*D59</f>
        <v>0</v>
      </c>
      <c r="F59" s="57">
        <f>SUMIFS(Calc!$F$118:$T$118,Calc!$F$10:$T$10,B59,Closed,1)</f>
        <v>0</v>
      </c>
    </row>
    <row r="60">
      <c r="B60" s="60" t="inlineStr">
        <is>
          <t>Whole project</t>
        </is>
      </c>
      <c r="C60" s="61">
        <f>SUM(C55:C59)</f>
        <v>1747245</v>
      </c>
      <c r="D60" s="67">
        <f>IF(C60=0,0,E60/C60)</f>
        <v>0.4059075859424408</v>
      </c>
      <c r="E60" s="61">
        <f>SUM(E55:E59)</f>
        <v>709220</v>
      </c>
      <c r="F60" s="61">
        <f>SUM(F55:F59)</f>
        <v>809975</v>
      </c>
    </row>
    <row r="62">
      <c r="B62" s="13" t="inlineStr">
        <is>
          <t>Cost performance index (CPI)</t>
        </is>
      </c>
      <c r="C62" s="68">
        <f>IF(ActualToDate=0,0,EarnedValue/ActualToDate)</f>
        <v>0.8580640868202798</v>
      </c>
      <c r="D62" s="6" t="n"/>
      <c r="E62" s="14" t="inlineStr">
        <is>
          <t>Planned work delivered per dollar spent. Below 1.00: the work costs more than planned.</t>
        </is>
      </c>
      <c r="F62" s="6" t="n"/>
      <c r="G62" s="6" t="n"/>
      <c r="H62" s="6" t="n"/>
      <c r="I62" s="6" t="n"/>
      <c r="J62" s="6" t="n"/>
    </row>
    <row r="63">
      <c r="B63" s="13" t="inlineStr">
        <is>
          <t>Schedule performance index (SPI)</t>
        </is>
      </c>
      <c r="C63" s="68">
        <f>IF(PlanToDate=0,0,EarnedValue/PlanToDate)</f>
        <v>0.8756072718293775</v>
      </c>
      <c r="D63" s="6" t="n"/>
      <c r="E63" s="14" t="inlineStr">
        <is>
          <t>Planned work delivered per dollar of plan to date. Below 1.00: behind schedule.</t>
        </is>
      </c>
      <c r="F63" s="6" t="n"/>
      <c r="G63" s="6" t="n"/>
      <c r="H63" s="6" t="n"/>
      <c r="I63" s="6" t="n"/>
      <c r="J63" s="6" t="n"/>
    </row>
    <row r="64">
      <c r="B64" s="13" t="inlineStr">
        <is>
          <t>Forecast at today's cost performance</t>
        </is>
      </c>
      <c r="C64" s="69">
        <f>ActualToDate+IF(CPI=0,0,(BaseBudget-EarnedValue)/CPI)</f>
        <v>2036263.9887129522</v>
      </c>
      <c r="D64" s="6" t="n"/>
      <c r="E64" s="14" t="inlineStr">
        <is>
          <t>Actuals so far, plus the remaining planned work at today's cost per unit of work. Excludes changes.</t>
        </is>
      </c>
      <c r="F64" s="6" t="n"/>
      <c r="G64" s="6" t="n"/>
      <c r="H64" s="6" t="n"/>
      <c r="I64" s="6" t="n"/>
      <c r="J64" s="6" t="n"/>
    </row>
    <row r="65">
      <c r="B65" s="13" t="inlineStr">
        <is>
          <t>With approved changes, over (under) budget</t>
        </is>
      </c>
      <c r="C65" s="69">
        <f>ForecastAtCPI+ChangesUsed-ApprovedBudget</f>
        <v>170763.98871295224</v>
      </c>
      <c r="D65" s="6" t="n"/>
      <c r="E65" s="14" t="inlineStr">
        <is>
          <t>The same, with the approved changes added, against the approved budget.</t>
        </is>
      </c>
      <c r="F65" s="6" t="n"/>
      <c r="G65" s="6" t="n"/>
      <c r="H65" s="6" t="n"/>
      <c r="I65" s="6" t="n"/>
      <c r="J65" s="6" t="n"/>
    </row>
  </sheetData>
  <sheetProtection selectLockedCells="0" selectUnlockedCells="0" sheet="1" objects="0" insertRows="1" insertHyperlinks="1" autoFilter="1" scenarios="0" formatColumns="0" deleteColumns="1" insertColumns="1" pivotTables="1" deleteRows="1" formatCells="1" formatRows="0" sort="1"/>
  <conditionalFormatting sqref="F9:F37 I9:I37">
    <cfRule type="cellIs" priority="1" operator="greaterThan" dxfId="0">
      <formula>0.5</formula>
    </cfRule>
    <cfRule type="cellIs" priority="2" operator="lessThan" dxfId="1">
      <formula>-0.5</formula>
    </cfRule>
  </conditionalFormatting>
  <conditionalFormatting sqref="J9:J37">
    <cfRule type="expression" priority="3" dxfId="0" stopIfTrue="0">
      <formula>AND(ISNUMBER(J9),J9&gt;0.0005)</formula>
    </cfRule>
    <cfRule type="expression" priority="4" dxfId="1" stopIfTrue="0">
      <formula>AND(ISNUMBER(J9),J9&lt;-0.0005)</formula>
    </cfRule>
  </conditionalFormatting>
  <conditionalFormatting sqref="C47">
    <cfRule type="cellIs" priority="5" operator="lessThan" dxfId="0">
      <formula>0</formula>
    </cfRule>
  </conditionalFormatting>
  <conditionalFormatting sqref="C49">
    <cfRule type="cellIs" priority="6" operator="lessThan" dxfId="0">
      <formula>0</formula>
    </cfRule>
  </conditionalFormatting>
  <conditionalFormatting sqref="C65">
    <cfRule type="cellIs" priority="7" operator="greaterThan" dxfId="0">
      <formula>0.5</formula>
    </cfRule>
  </conditionalFormatting>
  <conditionalFormatting sqref="C62:C63">
    <cfRule type="cellIs" priority="8" operator="lessThan" dxfId="0">
      <formula>0.995</formula>
    </cfRule>
  </conditionalFormatting>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4.xml><?xml version="1.0" encoding="utf-8"?>
<worksheet xmlns="http://schemas.openxmlformats.org/spreadsheetml/2006/main">
  <sheetPr>
    <tabColor rgb="0017324D"/>
    <outlinePr summaryBelow="1" summaryRight="1"/>
    <pageSetUpPr fitToPage="1"/>
  </sheetPr>
  <dimension ref="B2:T29"/>
  <sheetViews>
    <sheetView showGridLines="0" zoomScale="100" workbookViewId="0">
      <pane xSplit="5" ySplit="6" topLeftCell="F7" activePane="bottomRight" state="frozen"/>
      <selection pane="topRight" activeCell="A1" sqref="A1"/>
      <selection pane="bottomLeft"/>
      <selection pane="bottomRight" activeCell="A1" sqref="A1"/>
    </sheetView>
  </sheetViews>
  <sheetFormatPr baseColWidth="8" defaultRowHeight="15" customHeight="1"/>
  <cols>
    <col width="2.5" customWidth="1" min="1" max="1"/>
    <col width="34" customWidth="1" min="2" max="2"/>
    <col width="12" customWidth="1" min="3" max="3"/>
    <col width="13" customWidth="1" min="4" max="4"/>
    <col width="2.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0.5" customWidth="1" min="16" max="16"/>
    <col width="10.5" customWidth="1" min="17" max="17"/>
    <col width="10.5" customWidth="1" min="18" max="18"/>
    <col width="10.5" customWidth="1" min="19" max="19"/>
    <col width="10.5" customWidth="1" min="20" max="20"/>
  </cols>
  <sheetData>
    <row r="1" ht="10" customHeight="1"/>
    <row r="2" ht="30" customHeight="1">
      <c r="B2" s="49" t="inlineStr">
        <is>
          <t>Monthly view</t>
        </is>
      </c>
    </row>
    <row r="3" ht="18" customHeight="1">
      <c r="B3" s="24" t="str">
        <f>"Plan and actual + forecast per month, by group. "&amp;Currency&amp;"."</f>
        <v>Plan and actual + forecast per month, by group. USD.</v>
      </c>
    </row>
    <row r="5" ht="18" customHeight="1">
      <c r="B5" s="70" t="inlineStr">
        <is>
          <t>Month</t>
        </is>
      </c>
      <c r="D5" s="71" t="inlineStr">
        <is>
          <t>Total</t>
        </is>
      </c>
      <c r="F5" s="72">
        <f>Calc!F$5</f>
        <v>46113</v>
      </c>
      <c r="G5" s="72">
        <f>Calc!G$5</f>
        <v>46143</v>
      </c>
      <c r="H5" s="72">
        <f>Calc!H$5</f>
        <v>46174</v>
      </c>
      <c r="I5" s="72">
        <f>Calc!I$5</f>
        <v>46204</v>
      </c>
      <c r="J5" s="72">
        <f>Calc!J$5</f>
        <v>46235</v>
      </c>
      <c r="K5" s="72">
        <f>Calc!K$5</f>
        <v>46266</v>
      </c>
      <c r="L5" s="72">
        <f>Calc!L$5</f>
        <v>46296</v>
      </c>
      <c r="M5" s="72">
        <f>Calc!M$5</f>
        <v>46327</v>
      </c>
      <c r="N5" s="72">
        <f>Calc!N$5</f>
        <v>46357</v>
      </c>
      <c r="O5" s="72">
        <f>Calc!O$5</f>
        <v>46388</v>
      </c>
      <c r="P5" s="72">
        <f>Calc!P$5</f>
        <v>46419</v>
      </c>
      <c r="Q5" s="72">
        <f>Calc!Q$5</f>
        <v>46447</v>
      </c>
      <c r="R5" s="72">
        <f>Calc!R$5</f>
        <v>46478</v>
      </c>
      <c r="S5" s="72">
        <f>Calc!S$5</f>
        <v>46508</v>
      </c>
      <c r="T5" s="72">
        <f>Calc!T$5</f>
        <v>46539</v>
      </c>
    </row>
    <row r="6" ht="15" customHeight="1">
      <c r="B6" s="73" t="n"/>
      <c r="C6" s="73" t="n"/>
      <c r="D6" s="73" t="n"/>
      <c r="F6" s="74" t="str">
        <f>Calc!F$6</f>
        <v>Actual</v>
      </c>
      <c r="G6" s="74" t="str">
        <f>Calc!G$6</f>
        <v>Actual</v>
      </c>
      <c r="H6" s="74" t="str">
        <f>Calc!H$6</f>
        <v>Actual</v>
      </c>
      <c r="I6" s="74" t="str">
        <f>Calc!I$6</f>
        <v>Actual</v>
      </c>
      <c r="J6" s="74" t="str">
        <f>Calc!J$6</f>
        <v>Actual</v>
      </c>
      <c r="K6" s="74" t="str">
        <f>Calc!K$6</f>
        <v>Actual</v>
      </c>
      <c r="L6" s="74" t="str">
        <f>Calc!L$6</f>
        <v>Forecast</v>
      </c>
      <c r="M6" s="74" t="str">
        <f>Calc!M$6</f>
        <v>Forecast</v>
      </c>
      <c r="N6" s="74" t="str">
        <f>Calc!N$6</f>
        <v>Forecast</v>
      </c>
      <c r="O6" s="74" t="str">
        <f>Calc!O$6</f>
        <v>Forecast</v>
      </c>
      <c r="P6" s="74" t="str">
        <f>Calc!P$6</f>
        <v>Forecast</v>
      </c>
      <c r="Q6" s="74" t="str">
        <f>Calc!Q$6</f>
        <v>Forecast</v>
      </c>
      <c r="R6" s="74" t="str">
        <f>Calc!R$6</f>
        <v>Forecast</v>
      </c>
      <c r="S6" s="74" t="str">
        <f>Calc!S$6</f>
        <v>Forecast</v>
      </c>
      <c r="T6" s="74" t="str">
        <f>Calc!T$6</f>
        <v>Forecast</v>
      </c>
    </row>
    <row r="8" ht="22" customHeight="1">
      <c r="B8" s="39" t="inlineStr">
        <is>
          <t>Baseline plan</t>
        </is>
      </c>
      <c r="C8" s="40" t="n"/>
      <c r="D8" s="40" t="n"/>
      <c r="E8" s="40" t="n"/>
      <c r="F8" s="40" t="n"/>
      <c r="G8" s="40" t="n"/>
      <c r="H8" s="40" t="n"/>
      <c r="I8" s="40" t="n"/>
      <c r="J8" s="40" t="n"/>
      <c r="K8" s="40" t="n"/>
      <c r="L8" s="40" t="n"/>
      <c r="M8" s="40" t="n"/>
      <c r="N8" s="40" t="n"/>
      <c r="O8" s="40" t="n"/>
      <c r="P8" s="40" t="n"/>
      <c r="Q8" s="40" t="n"/>
      <c r="R8" s="40" t="n"/>
      <c r="S8" s="40" t="n"/>
      <c r="T8" s="40" t="n"/>
    </row>
    <row r="9">
      <c r="B9" s="13" t="inlineStr">
        <is>
          <t>Team</t>
        </is>
      </c>
      <c r="C9" s="6" t="n"/>
      <c r="D9" s="69">
        <f>SUM(F9:T9)</f>
        <v>1465645</v>
      </c>
      <c r="E9" s="6" t="n"/>
      <c r="F9" s="57">
        <f>SUMIFS(Calc!F$101:F$117,Calc!$C$101:$C$117,$B9)</f>
        <v>45875</v>
      </c>
      <c r="G9" s="57">
        <f>SUMIFS(Calc!G$101:G$117,Calc!$C$101:$C$117,$B9)</f>
        <v>87485</v>
      </c>
      <c r="H9" s="57">
        <f>SUMIFS(Calc!H$101:H$117,Calc!$C$101:$C$117,$B9)</f>
        <v>87485</v>
      </c>
      <c r="I9" s="57">
        <f>SUMIFS(Calc!I$101:I$117,Calc!$C$101:$C$117,$B9)</f>
        <v>163310</v>
      </c>
      <c r="J9" s="57">
        <f>SUMIFS(Calc!J$101:J$117,Calc!$C$101:$C$117,$B9)</f>
        <v>163310</v>
      </c>
      <c r="K9" s="57">
        <f>SUMIFS(Calc!K$101:K$117,Calc!$C$101:$C$117,$B9)</f>
        <v>163310</v>
      </c>
      <c r="L9" s="57">
        <f>SUMIFS(Calc!L$101:L$117,Calc!$C$101:$C$117,$B9)</f>
        <v>163310</v>
      </c>
      <c r="M9" s="57">
        <f>SUMIFS(Calc!M$101:M$117,Calc!$C$101:$C$117,$B9)</f>
        <v>163310</v>
      </c>
      <c r="N9" s="57">
        <f>SUMIFS(Calc!N$101:N$117,Calc!$C$101:$C$117,$B9)</f>
        <v>155350</v>
      </c>
      <c r="O9" s="57">
        <f>SUMIFS(Calc!O$101:O$117,Calc!$C$101:$C$117,$B9)</f>
        <v>155350</v>
      </c>
      <c r="P9" s="57">
        <f>SUMIFS(Calc!P$101:P$117,Calc!$C$101:$C$117,$B9)</f>
        <v>58775</v>
      </c>
      <c r="Q9" s="57">
        <f>SUMIFS(Calc!Q$101:Q$117,Calc!$C$101:$C$117,$B9)</f>
        <v>58775</v>
      </c>
      <c r="R9" s="57">
        <f>SUMIFS(Calc!R$101:R$117,Calc!$C$101:$C$117,$B9)</f>
        <v>0</v>
      </c>
      <c r="S9" s="57">
        <f>SUMIFS(Calc!S$101:S$117,Calc!$C$101:$C$117,$B9)</f>
        <v>0</v>
      </c>
      <c r="T9" s="57">
        <f>SUMIFS(Calc!T$101:T$117,Calc!$C$101:$C$117,$B9)</f>
        <v>0</v>
      </c>
    </row>
    <row r="10">
      <c r="B10" s="13" t="inlineStr">
        <is>
          <t>Purchases</t>
        </is>
      </c>
      <c r="C10" s="6" t="n"/>
      <c r="D10" s="69">
        <f>SUM(F10:T10)</f>
        <v>135500</v>
      </c>
      <c r="E10" s="6" t="n"/>
      <c r="F10" s="57">
        <f>SUMIFS(Calc!F$101:F$117,Calc!$C$101:$C$117,$B10)</f>
        <v>0</v>
      </c>
      <c r="G10" s="57">
        <f>SUMIFS(Calc!G$101:G$117,Calc!$C$101:$C$117,$B10)</f>
        <v>24000</v>
      </c>
      <c r="H10" s="57">
        <f>SUMIFS(Calc!H$101:H$117,Calc!$C$101:$C$117,$B10)</f>
        <v>0</v>
      </c>
      <c r="I10" s="57">
        <f>SUMIFS(Calc!I$101:I$117,Calc!$C$101:$C$117,$B10)</f>
        <v>16000</v>
      </c>
      <c r="J10" s="57">
        <f>SUMIFS(Calc!J$101:J$117,Calc!$C$101:$C$117,$B10)</f>
        <v>0</v>
      </c>
      <c r="K10" s="57">
        <f>SUMIFS(Calc!K$101:K$117,Calc!$C$101:$C$117,$B10)</f>
        <v>9500</v>
      </c>
      <c r="L10" s="57">
        <f>SUMIFS(Calc!L$101:L$117,Calc!$C$101:$C$117,$B10)</f>
        <v>0</v>
      </c>
      <c r="M10" s="57">
        <f>SUMIFS(Calc!M$101:M$117,Calc!$C$101:$C$117,$B10)</f>
        <v>0</v>
      </c>
      <c r="N10" s="57">
        <f>SUMIFS(Calc!N$101:N$117,Calc!$C$101:$C$117,$B10)</f>
        <v>50000</v>
      </c>
      <c r="O10" s="57">
        <f>SUMIFS(Calc!O$101:O$117,Calc!$C$101:$C$117,$B10)</f>
        <v>36000</v>
      </c>
      <c r="P10" s="57">
        <f>SUMIFS(Calc!P$101:P$117,Calc!$C$101:$C$117,$B10)</f>
        <v>0</v>
      </c>
      <c r="Q10" s="57">
        <f>SUMIFS(Calc!Q$101:Q$117,Calc!$C$101:$C$117,$B10)</f>
        <v>0</v>
      </c>
      <c r="R10" s="57">
        <f>SUMIFS(Calc!R$101:R$117,Calc!$C$101:$C$117,$B10)</f>
        <v>0</v>
      </c>
      <c r="S10" s="57">
        <f>SUMIFS(Calc!S$101:S$117,Calc!$C$101:$C$117,$B10)</f>
        <v>0</v>
      </c>
      <c r="T10" s="57">
        <f>SUMIFS(Calc!T$101:T$117,Calc!$C$101:$C$117,$B10)</f>
        <v>0</v>
      </c>
    </row>
    <row r="11">
      <c r="B11" s="13" t="inlineStr">
        <is>
          <t>Platform</t>
        </is>
      </c>
      <c r="C11" s="6" t="n"/>
      <c r="D11" s="69">
        <f>SUM(F11:T11)</f>
        <v>146100</v>
      </c>
      <c r="E11" s="6" t="n"/>
      <c r="F11" s="57">
        <f>SUMIFS(Calc!F$101:F$117,Calc!$C$101:$C$117,$B11)</f>
        <v>2200</v>
      </c>
      <c r="G11" s="57">
        <f>SUMIFS(Calc!G$101:G$117,Calc!$C$101:$C$117,$B11)</f>
        <v>4700</v>
      </c>
      <c r="H11" s="57">
        <f>SUMIFS(Calc!H$101:H$117,Calc!$C$101:$C$117,$B11)</f>
        <v>4700</v>
      </c>
      <c r="I11" s="57">
        <f>SUMIFS(Calc!I$101:I$117,Calc!$C$101:$C$117,$B11)</f>
        <v>12700</v>
      </c>
      <c r="J11" s="57">
        <f>SUMIFS(Calc!J$101:J$117,Calc!$C$101:$C$117,$B11)</f>
        <v>12700</v>
      </c>
      <c r="K11" s="57">
        <f>SUMIFS(Calc!K$101:K$117,Calc!$C$101:$C$117,$B11)</f>
        <v>12700</v>
      </c>
      <c r="L11" s="57">
        <f>SUMIFS(Calc!L$101:L$117,Calc!$C$101:$C$117,$B11)</f>
        <v>12700</v>
      </c>
      <c r="M11" s="57">
        <f>SUMIFS(Calc!M$101:M$117,Calc!$C$101:$C$117,$B11)</f>
        <v>12700</v>
      </c>
      <c r="N11" s="57">
        <f>SUMIFS(Calc!N$101:N$117,Calc!$C$101:$C$117,$B11)</f>
        <v>16000</v>
      </c>
      <c r="O11" s="57">
        <f>SUMIFS(Calc!O$101:O$117,Calc!$C$101:$C$117,$B11)</f>
        <v>16000</v>
      </c>
      <c r="P11" s="57">
        <f>SUMIFS(Calc!P$101:P$117,Calc!$C$101:$C$117,$B11)</f>
        <v>19500</v>
      </c>
      <c r="Q11" s="57">
        <f>SUMIFS(Calc!Q$101:Q$117,Calc!$C$101:$C$117,$B11)</f>
        <v>19500</v>
      </c>
      <c r="R11" s="57">
        <f>SUMIFS(Calc!R$101:R$117,Calc!$C$101:$C$117,$B11)</f>
        <v>0</v>
      </c>
      <c r="S11" s="57">
        <f>SUMIFS(Calc!S$101:S$117,Calc!$C$101:$C$117,$B11)</f>
        <v>0</v>
      </c>
      <c r="T11" s="57">
        <f>SUMIFS(Calc!T$101:T$117,Calc!$C$101:$C$117,$B11)</f>
        <v>0</v>
      </c>
    </row>
    <row r="12">
      <c r="B12" s="13" t="inlineStr">
        <is>
          <t>Changes</t>
        </is>
      </c>
      <c r="C12" s="6" t="n"/>
      <c r="D12" s="69">
        <f>SUM(F12:T12)</f>
        <v>0</v>
      </c>
      <c r="E12" s="6" t="n"/>
      <c r="F12" s="57">
        <f>SUMIFS(Calc!F$101:F$117,Calc!$C$101:$C$117,$B12)</f>
        <v>0</v>
      </c>
      <c r="G12" s="57">
        <f>SUMIFS(Calc!G$101:G$117,Calc!$C$101:$C$117,$B12)</f>
        <v>0</v>
      </c>
      <c r="H12" s="57">
        <f>SUMIFS(Calc!H$101:H$117,Calc!$C$101:$C$117,$B12)</f>
        <v>0</v>
      </c>
      <c r="I12" s="57">
        <f>SUMIFS(Calc!I$101:I$117,Calc!$C$101:$C$117,$B12)</f>
        <v>0</v>
      </c>
      <c r="J12" s="57">
        <f>SUMIFS(Calc!J$101:J$117,Calc!$C$101:$C$117,$B12)</f>
        <v>0</v>
      </c>
      <c r="K12" s="57">
        <f>SUMIFS(Calc!K$101:K$117,Calc!$C$101:$C$117,$B12)</f>
        <v>0</v>
      </c>
      <c r="L12" s="57">
        <f>SUMIFS(Calc!L$101:L$117,Calc!$C$101:$C$117,$B12)</f>
        <v>0</v>
      </c>
      <c r="M12" s="57">
        <f>SUMIFS(Calc!M$101:M$117,Calc!$C$101:$C$117,$B12)</f>
        <v>0</v>
      </c>
      <c r="N12" s="57">
        <f>SUMIFS(Calc!N$101:N$117,Calc!$C$101:$C$117,$B12)</f>
        <v>0</v>
      </c>
      <c r="O12" s="57">
        <f>SUMIFS(Calc!O$101:O$117,Calc!$C$101:$C$117,$B12)</f>
        <v>0</v>
      </c>
      <c r="P12" s="57">
        <f>SUMIFS(Calc!P$101:P$117,Calc!$C$101:$C$117,$B12)</f>
        <v>0</v>
      </c>
      <c r="Q12" s="57">
        <f>SUMIFS(Calc!Q$101:Q$117,Calc!$C$101:$C$117,$B12)</f>
        <v>0</v>
      </c>
      <c r="R12" s="57">
        <f>SUMIFS(Calc!R$101:R$117,Calc!$C$101:$C$117,$B12)</f>
        <v>0</v>
      </c>
      <c r="S12" s="57">
        <f>SUMIFS(Calc!S$101:S$117,Calc!$C$101:$C$117,$B12)</f>
        <v>0</v>
      </c>
      <c r="T12" s="57">
        <f>SUMIFS(Calc!T$101:T$117,Calc!$C$101:$C$117,$B12)</f>
        <v>0</v>
      </c>
    </row>
    <row r="13">
      <c r="B13" s="60" t="inlineStr">
        <is>
          <t>Total</t>
        </is>
      </c>
      <c r="C13" s="75" t="n"/>
      <c r="D13" s="61">
        <f>SUM(D9:D12)</f>
        <v>1747245</v>
      </c>
      <c r="E13" s="75" t="n"/>
      <c r="F13" s="61">
        <f>SUM(F9:F12)</f>
        <v>48075</v>
      </c>
      <c r="G13" s="61">
        <f>SUM(G9:G12)</f>
        <v>116185</v>
      </c>
      <c r="H13" s="61">
        <f>SUM(H9:H12)</f>
        <v>92185</v>
      </c>
      <c r="I13" s="61">
        <f>SUM(I9:I12)</f>
        <v>192010</v>
      </c>
      <c r="J13" s="61">
        <f>SUM(J9:J12)</f>
        <v>176010</v>
      </c>
      <c r="K13" s="61">
        <f>SUM(K9:K12)</f>
        <v>185510</v>
      </c>
      <c r="L13" s="61">
        <f>SUM(L9:L12)</f>
        <v>176010</v>
      </c>
      <c r="M13" s="61">
        <f>SUM(M9:M12)</f>
        <v>176010</v>
      </c>
      <c r="N13" s="61">
        <f>SUM(N9:N12)</f>
        <v>221350</v>
      </c>
      <c r="O13" s="61">
        <f>SUM(O9:O12)</f>
        <v>207350</v>
      </c>
      <c r="P13" s="61">
        <f>SUM(P9:P12)</f>
        <v>78275</v>
      </c>
      <c r="Q13" s="61">
        <f>SUM(Q9:Q12)</f>
        <v>78275</v>
      </c>
      <c r="R13" s="61">
        <f>SUM(R9:R12)</f>
        <v>0</v>
      </c>
      <c r="S13" s="61">
        <f>SUM(S9:S12)</f>
        <v>0</v>
      </c>
      <c r="T13" s="61">
        <f>SUM(T9:T12)</f>
        <v>0</v>
      </c>
    </row>
    <row r="15" ht="22" customHeight="1">
      <c r="B15" s="39" t="inlineStr">
        <is>
          <t>Actual + forecast</t>
        </is>
      </c>
      <c r="C15" s="40" t="n"/>
      <c r="D15" s="40" t="n"/>
      <c r="E15" s="40" t="n"/>
      <c r="F15" s="40" t="n"/>
      <c r="G15" s="40" t="n"/>
      <c r="H15" s="40" t="n"/>
      <c r="I15" s="40" t="n"/>
      <c r="J15" s="40" t="n"/>
      <c r="K15" s="40" t="n"/>
      <c r="L15" s="40" t="n"/>
      <c r="M15" s="40" t="n"/>
      <c r="N15" s="40" t="n"/>
      <c r="O15" s="40" t="n"/>
      <c r="P15" s="40" t="n"/>
      <c r="Q15" s="40" t="n"/>
      <c r="R15" s="40" t="n"/>
      <c r="S15" s="40" t="n"/>
      <c r="T15" s="40" t="n"/>
    </row>
    <row r="16">
      <c r="B16" s="13" t="inlineStr">
        <is>
          <t>Team</t>
        </is>
      </c>
      <c r="C16" s="6" t="n"/>
      <c r="D16" s="69">
        <f>SUM(F16:T16)</f>
        <v>1509315</v>
      </c>
      <c r="E16" s="6" t="n"/>
      <c r="F16" s="57">
        <f>SUMIFS(Calc!F$164:F$180,Calc!$C$164:$C$180,$B16)</f>
        <v>45875</v>
      </c>
      <c r="G16" s="57">
        <f>SUMIFS(Calc!G$164:G$180,Calc!$C$164:$C$180,$B16)</f>
        <v>80455</v>
      </c>
      <c r="H16" s="57">
        <f>SUMIFS(Calc!H$164:H$180,Calc!$C$164:$C$180,$B16)</f>
        <v>87485</v>
      </c>
      <c r="I16" s="57">
        <f>SUMIFS(Calc!I$164:I$180,Calc!$C$164:$C$180,$B16)</f>
        <v>159405</v>
      </c>
      <c r="J16" s="57">
        <f>SUMIFS(Calc!J$164:J$180,Calc!$C$164:$C$180,$B16)</f>
        <v>168705</v>
      </c>
      <c r="K16" s="57">
        <f>SUMIFS(Calc!K$164:K$180,Calc!$C$164:$C$180,$B16)</f>
        <v>176470</v>
      </c>
      <c r="L16" s="57">
        <f>SUMIFS(Calc!L$164:L$180,Calc!$C$164:$C$180,$B16)</f>
        <v>173145</v>
      </c>
      <c r="M16" s="57">
        <f>SUMIFS(Calc!M$164:M$180,Calc!$C$164:$C$180,$B16)</f>
        <v>173145</v>
      </c>
      <c r="N16" s="57">
        <f>SUMIFS(Calc!N$164:N$180,Calc!$C$164:$C$180,$B16)</f>
        <v>163270</v>
      </c>
      <c r="O16" s="57">
        <f>SUMIFS(Calc!O$164:O$180,Calc!$C$164:$C$180,$B16)</f>
        <v>163270</v>
      </c>
      <c r="P16" s="57">
        <f>SUMIFS(Calc!P$164:P$180,Calc!$C$164:$C$180,$B16)</f>
        <v>59045</v>
      </c>
      <c r="Q16" s="57">
        <f>SUMIFS(Calc!Q$164:Q$180,Calc!$C$164:$C$180,$B16)</f>
        <v>59045</v>
      </c>
      <c r="R16" s="57">
        <f>SUMIFS(Calc!R$164:R$180,Calc!$C$164:$C$180,$B16)</f>
        <v>0</v>
      </c>
      <c r="S16" s="57">
        <f>SUMIFS(Calc!S$164:S$180,Calc!$C$164:$C$180,$B16)</f>
        <v>0</v>
      </c>
      <c r="T16" s="57">
        <f>SUMIFS(Calc!T$164:T$180,Calc!$C$164:$C$180,$B16)</f>
        <v>0</v>
      </c>
    </row>
    <row r="17">
      <c r="B17" s="13" t="inlineStr">
        <is>
          <t>Purchases</t>
        </is>
      </c>
      <c r="C17" s="6" t="n"/>
      <c r="D17" s="69">
        <f>SUM(F17:T17)</f>
        <v>144740</v>
      </c>
      <c r="E17" s="6" t="n"/>
      <c r="F17" s="57">
        <f>SUMIFS(Calc!F$164:F$180,Calc!$C$164:$C$180,$B17)</f>
        <v>0</v>
      </c>
      <c r="G17" s="57">
        <f>SUMIFS(Calc!G$164:G$180,Calc!$C$164:$C$180,$B17)</f>
        <v>24000</v>
      </c>
      <c r="H17" s="57">
        <f>SUMIFS(Calc!H$164:H$180,Calc!$C$164:$C$180,$B17)</f>
        <v>0</v>
      </c>
      <c r="I17" s="57">
        <f>SUMIFS(Calc!I$164:I$180,Calc!$C$164:$C$180,$B17)</f>
        <v>17240</v>
      </c>
      <c r="J17" s="57">
        <f>SUMIFS(Calc!J$164:J$180,Calc!$C$164:$C$180,$B17)</f>
        <v>0</v>
      </c>
      <c r="K17" s="57">
        <f>SUMIFS(Calc!K$164:K$180,Calc!$C$164:$C$180,$B17)</f>
        <v>11200</v>
      </c>
      <c r="L17" s="57">
        <f>SUMIFS(Calc!L$164:L$180,Calc!$C$164:$C$180,$B17)</f>
        <v>0</v>
      </c>
      <c r="M17" s="57">
        <f>SUMIFS(Calc!M$164:M$180,Calc!$C$164:$C$180,$B17)</f>
        <v>0</v>
      </c>
      <c r="N17" s="57">
        <f>SUMIFS(Calc!N$164:N$180,Calc!$C$164:$C$180,$B17)</f>
        <v>56300</v>
      </c>
      <c r="O17" s="57">
        <f>SUMIFS(Calc!O$164:O$180,Calc!$C$164:$C$180,$B17)</f>
        <v>36000</v>
      </c>
      <c r="P17" s="57">
        <f>SUMIFS(Calc!P$164:P$180,Calc!$C$164:$C$180,$B17)</f>
        <v>0</v>
      </c>
      <c r="Q17" s="57">
        <f>SUMIFS(Calc!Q$164:Q$180,Calc!$C$164:$C$180,$B17)</f>
        <v>0</v>
      </c>
      <c r="R17" s="57">
        <f>SUMIFS(Calc!R$164:R$180,Calc!$C$164:$C$180,$B17)</f>
        <v>0</v>
      </c>
      <c r="S17" s="57">
        <f>SUMIFS(Calc!S$164:S$180,Calc!$C$164:$C$180,$B17)</f>
        <v>0</v>
      </c>
      <c r="T17" s="57">
        <f>SUMIFS(Calc!T$164:T$180,Calc!$C$164:$C$180,$B17)</f>
        <v>0</v>
      </c>
    </row>
    <row r="18">
      <c r="B18" s="13" t="inlineStr">
        <is>
          <t>Platform</t>
        </is>
      </c>
      <c r="C18" s="6" t="n"/>
      <c r="D18" s="69">
        <f>SUM(F18:T18)</f>
        <v>157300</v>
      </c>
      <c r="E18" s="6" t="n"/>
      <c r="F18" s="57">
        <f>SUMIFS(Calc!F$164:F$180,Calc!$C$164:$C$180,$B18)</f>
        <v>2180</v>
      </c>
      <c r="G18" s="57">
        <f>SUMIFS(Calc!G$164:G$180,Calc!$C$164:$C$180,$B18)</f>
        <v>4700</v>
      </c>
      <c r="H18" s="57">
        <f>SUMIFS(Calc!H$164:H$180,Calc!$C$164:$C$180,$B18)</f>
        <v>4800</v>
      </c>
      <c r="I18" s="57">
        <f>SUMIFS(Calc!I$164:I$180,Calc!$C$164:$C$180,$B18)</f>
        <v>12970</v>
      </c>
      <c r="J18" s="57">
        <f>SUMIFS(Calc!J$164:J$180,Calc!$C$164:$C$180,$B18)</f>
        <v>13780</v>
      </c>
      <c r="K18" s="57">
        <f>SUMIFS(Calc!K$164:K$180,Calc!$C$164:$C$180,$B18)</f>
        <v>17270</v>
      </c>
      <c r="L18" s="57">
        <f>SUMIFS(Calc!L$164:L$180,Calc!$C$164:$C$180,$B18)</f>
        <v>14100</v>
      </c>
      <c r="M18" s="57">
        <f>SUMIFS(Calc!M$164:M$180,Calc!$C$164:$C$180,$B18)</f>
        <v>14100</v>
      </c>
      <c r="N18" s="57">
        <f>SUMIFS(Calc!N$164:N$180,Calc!$C$164:$C$180,$B18)</f>
        <v>16700</v>
      </c>
      <c r="O18" s="57">
        <f>SUMIFS(Calc!O$164:O$180,Calc!$C$164:$C$180,$B18)</f>
        <v>16700</v>
      </c>
      <c r="P18" s="57">
        <f>SUMIFS(Calc!P$164:P$180,Calc!$C$164:$C$180,$B18)</f>
        <v>20000</v>
      </c>
      <c r="Q18" s="57">
        <f>SUMIFS(Calc!Q$164:Q$180,Calc!$C$164:$C$180,$B18)</f>
        <v>20000</v>
      </c>
      <c r="R18" s="57">
        <f>SUMIFS(Calc!R$164:R$180,Calc!$C$164:$C$180,$B18)</f>
        <v>0</v>
      </c>
      <c r="S18" s="57">
        <f>SUMIFS(Calc!S$164:S$180,Calc!$C$164:$C$180,$B18)</f>
        <v>0</v>
      </c>
      <c r="T18" s="57">
        <f>SUMIFS(Calc!T$164:T$180,Calc!$C$164:$C$180,$B18)</f>
        <v>0</v>
      </c>
    </row>
    <row r="19">
      <c r="B19" s="13" t="inlineStr">
        <is>
          <t>Changes</t>
        </is>
      </c>
      <c r="C19" s="6" t="n"/>
      <c r="D19" s="69">
        <f>SUM(F19:T19)</f>
        <v>59500</v>
      </c>
      <c r="E19" s="6" t="n"/>
      <c r="F19" s="57">
        <f>SUMIFS(Calc!F$164:F$180,Calc!$C$164:$C$180,$B19)</f>
        <v>0</v>
      </c>
      <c r="G19" s="57">
        <f>SUMIFS(Calc!G$164:G$180,Calc!$C$164:$C$180,$B19)</f>
        <v>0</v>
      </c>
      <c r="H19" s="57">
        <f>SUMIFS(Calc!H$164:H$180,Calc!$C$164:$C$180,$B19)</f>
        <v>0</v>
      </c>
      <c r="I19" s="57">
        <f>SUMIFS(Calc!I$164:I$180,Calc!$C$164:$C$180,$B19)</f>
        <v>0</v>
      </c>
      <c r="J19" s="57">
        <f>SUMIFS(Calc!J$164:J$180,Calc!$C$164:$C$180,$B19)</f>
        <v>0</v>
      </c>
      <c r="K19" s="57">
        <f>SUMIFS(Calc!K$164:K$180,Calc!$C$164:$C$180,$B19)</f>
        <v>0</v>
      </c>
      <c r="L19" s="57">
        <f>SUMIFS(Calc!L$164:L$180,Calc!$C$164:$C$180,$B19)</f>
        <v>0</v>
      </c>
      <c r="M19" s="57">
        <f>SUMIFS(Calc!M$164:M$180,Calc!$C$164:$C$180,$B19)</f>
        <v>38000</v>
      </c>
      <c r="N19" s="57">
        <f>SUMIFS(Calc!N$164:N$180,Calc!$C$164:$C$180,$B19)</f>
        <v>21500</v>
      </c>
      <c r="O19" s="57">
        <f>SUMIFS(Calc!O$164:O$180,Calc!$C$164:$C$180,$B19)</f>
        <v>0</v>
      </c>
      <c r="P19" s="57">
        <f>SUMIFS(Calc!P$164:P$180,Calc!$C$164:$C$180,$B19)</f>
        <v>0</v>
      </c>
      <c r="Q19" s="57">
        <f>SUMIFS(Calc!Q$164:Q$180,Calc!$C$164:$C$180,$B19)</f>
        <v>0</v>
      </c>
      <c r="R19" s="57">
        <f>SUMIFS(Calc!R$164:R$180,Calc!$C$164:$C$180,$B19)</f>
        <v>0</v>
      </c>
      <c r="S19" s="57">
        <f>SUMIFS(Calc!S$164:S$180,Calc!$C$164:$C$180,$B19)</f>
        <v>0</v>
      </c>
      <c r="T19" s="57">
        <f>SUMIFS(Calc!T$164:T$180,Calc!$C$164:$C$180,$B19)</f>
        <v>0</v>
      </c>
    </row>
    <row r="20">
      <c r="B20" s="60" t="inlineStr">
        <is>
          <t>Total</t>
        </is>
      </c>
      <c r="C20" s="75" t="n"/>
      <c r="D20" s="61">
        <f>SUM(D16:D19)</f>
        <v>1870855</v>
      </c>
      <c r="E20" s="75" t="n"/>
      <c r="F20" s="61">
        <f>SUM(F16:F19)</f>
        <v>48055</v>
      </c>
      <c r="G20" s="61">
        <f>SUM(G16:G19)</f>
        <v>109155</v>
      </c>
      <c r="H20" s="61">
        <f>SUM(H16:H19)</f>
        <v>92285</v>
      </c>
      <c r="I20" s="61">
        <f>SUM(I16:I19)</f>
        <v>189615</v>
      </c>
      <c r="J20" s="61">
        <f>SUM(J16:J19)</f>
        <v>182485</v>
      </c>
      <c r="K20" s="61">
        <f>SUM(K16:K19)</f>
        <v>204940</v>
      </c>
      <c r="L20" s="61">
        <f>SUM(L16:L19)</f>
        <v>187245</v>
      </c>
      <c r="M20" s="61">
        <f>SUM(M16:M19)</f>
        <v>225245</v>
      </c>
      <c r="N20" s="61">
        <f>SUM(N16:N19)</f>
        <v>257770</v>
      </c>
      <c r="O20" s="61">
        <f>SUM(O16:O19)</f>
        <v>215970</v>
      </c>
      <c r="P20" s="61">
        <f>SUM(P16:P19)</f>
        <v>79045</v>
      </c>
      <c r="Q20" s="61">
        <f>SUM(Q16:Q19)</f>
        <v>79045</v>
      </c>
      <c r="R20" s="61">
        <f>SUM(R16:R19)</f>
        <v>0</v>
      </c>
      <c r="S20" s="61">
        <f>SUM(S16:S19)</f>
        <v>0</v>
      </c>
      <c r="T20" s="61">
        <f>SUM(T16:T19)</f>
        <v>0</v>
      </c>
    </row>
    <row r="22" ht="22" customHeight="1">
      <c r="B22" s="39" t="inlineStr">
        <is>
          <t>Difference</t>
        </is>
      </c>
      <c r="C22" s="40" t="n"/>
      <c r="D22" s="40" t="n"/>
      <c r="E22" s="40" t="n"/>
      <c r="F22" s="40" t="n"/>
      <c r="G22" s="40" t="n"/>
      <c r="H22" s="40" t="n"/>
      <c r="I22" s="40" t="n"/>
      <c r="J22" s="40" t="n"/>
      <c r="K22" s="40" t="n"/>
      <c r="L22" s="40" t="n"/>
      <c r="M22" s="40" t="n"/>
      <c r="N22" s="40" t="n"/>
      <c r="O22" s="40" t="n"/>
      <c r="P22" s="40" t="n"/>
      <c r="Q22" s="40" t="n"/>
      <c r="R22" s="40" t="n"/>
      <c r="S22" s="40" t="n"/>
      <c r="T22" s="40" t="n"/>
    </row>
    <row r="23">
      <c r="B23" s="11" t="inlineStr">
        <is>
          <t>Actual + forecast minus plan</t>
        </is>
      </c>
      <c r="D23" s="17">
        <f>D20-D13</f>
        <v>123610</v>
      </c>
      <c r="F23" s="17">
        <f>F20-F13</f>
        <v>-20</v>
      </c>
      <c r="G23" s="17">
        <f>G20-G13</f>
        <v>-7030</v>
      </c>
      <c r="H23" s="17">
        <f>H20-H13</f>
        <v>100</v>
      </c>
      <c r="I23" s="17">
        <f>I20-I13</f>
        <v>-2395</v>
      </c>
      <c r="J23" s="17">
        <f>J20-J13</f>
        <v>6475</v>
      </c>
      <c r="K23" s="17">
        <f>K20-K13</f>
        <v>19430</v>
      </c>
      <c r="L23" s="17">
        <f>L20-L13</f>
        <v>11235</v>
      </c>
      <c r="M23" s="17">
        <f>M20-M13</f>
        <v>49235</v>
      </c>
      <c r="N23" s="17">
        <f>N20-N13</f>
        <v>36420</v>
      </c>
      <c r="O23" s="17">
        <f>O20-O13</f>
        <v>8620</v>
      </c>
      <c r="P23" s="17">
        <f>P20-P13</f>
        <v>770</v>
      </c>
      <c r="Q23" s="17">
        <f>Q20-Q13</f>
        <v>770</v>
      </c>
      <c r="R23" s="17">
        <f>R20-R13</f>
        <v>0</v>
      </c>
      <c r="S23" s="17">
        <f>S20-S13</f>
        <v>0</v>
      </c>
      <c r="T23" s="17">
        <f>T20-T13</f>
        <v>0</v>
      </c>
    </row>
    <row r="25" ht="22" customHeight="1">
      <c r="B25" s="39" t="inlineStr">
        <is>
          <t>Cumulative (the dashboard chart)</t>
        </is>
      </c>
      <c r="C25" s="40" t="n"/>
      <c r="D25" s="40" t="n"/>
      <c r="E25" s="40" t="n"/>
      <c r="F25" s="40" t="n"/>
      <c r="G25" s="40" t="n"/>
      <c r="H25" s="40" t="n"/>
      <c r="I25" s="40" t="n"/>
      <c r="J25" s="40" t="n"/>
      <c r="K25" s="40" t="n"/>
      <c r="L25" s="40" t="n"/>
      <c r="M25" s="40" t="n"/>
      <c r="N25" s="40" t="n"/>
      <c r="O25" s="40" t="n"/>
      <c r="P25" s="40" t="n"/>
      <c r="Q25" s="40" t="n"/>
      <c r="R25" s="40" t="n"/>
      <c r="S25" s="40" t="n"/>
      <c r="T25" s="40" t="n"/>
    </row>
    <row r="26">
      <c r="B26" s="13" t="inlineStr">
        <is>
          <t>Baseline plan</t>
        </is>
      </c>
      <c r="C26" s="6" t="n"/>
      <c r="D26" s="6" t="n"/>
      <c r="E26" s="6" t="n"/>
      <c r="F26" s="76">
        <f>Calc!F184</f>
        <v>48075</v>
      </c>
      <c r="G26" s="76">
        <f>Calc!G184</f>
        <v>164260</v>
      </c>
      <c r="H26" s="76">
        <f>Calc!H184</f>
        <v>256445</v>
      </c>
      <c r="I26" s="76">
        <f>Calc!I184</f>
        <v>448455</v>
      </c>
      <c r="J26" s="76">
        <f>Calc!J184</f>
        <v>624465</v>
      </c>
      <c r="K26" s="76">
        <f>Calc!K184</f>
        <v>809975</v>
      </c>
      <c r="L26" s="76">
        <f>Calc!L184</f>
        <v>985985</v>
      </c>
      <c r="M26" s="76">
        <f>Calc!M184</f>
        <v>1161995</v>
      </c>
      <c r="N26" s="76">
        <f>Calc!N184</f>
        <v>1383345</v>
      </c>
      <c r="O26" s="76">
        <f>Calc!O184</f>
        <v>1590695</v>
      </c>
      <c r="P26" s="76">
        <f>Calc!P184</f>
        <v>1668970</v>
      </c>
      <c r="Q26" s="76">
        <f>Calc!Q184</f>
        <v>1747245</v>
      </c>
      <c r="R26" s="76">
        <f>Calc!R184</f>
        <v>1747245</v>
      </c>
      <c r="S26" s="76">
        <f>Calc!S184</f>
        <v>1747245</v>
      </c>
      <c r="T26" s="76">
        <f>Calc!T184</f>
        <v>1747245</v>
      </c>
    </row>
    <row r="27">
      <c r="B27" s="13" t="inlineStr">
        <is>
          <t>Actual + forecast</t>
        </is>
      </c>
      <c r="C27" s="6" t="n"/>
      <c r="D27" s="6" t="n"/>
      <c r="E27" s="6" t="n"/>
      <c r="F27" s="76">
        <f>Calc!F185</f>
        <v>48055</v>
      </c>
      <c r="G27" s="76">
        <f>Calc!G185</f>
        <v>157210</v>
      </c>
      <c r="H27" s="76">
        <f>Calc!H185</f>
        <v>249495</v>
      </c>
      <c r="I27" s="76">
        <f>Calc!I185</f>
        <v>439110</v>
      </c>
      <c r="J27" s="76">
        <f>Calc!J185</f>
        <v>621595</v>
      </c>
      <c r="K27" s="76">
        <f>Calc!K185</f>
        <v>826535</v>
      </c>
      <c r="L27" s="76">
        <f>Calc!L185</f>
        <v>1013780</v>
      </c>
      <c r="M27" s="76">
        <f>Calc!M185</f>
        <v>1239025</v>
      </c>
      <c r="N27" s="76">
        <f>Calc!N185</f>
        <v>1496795</v>
      </c>
      <c r="O27" s="76">
        <f>Calc!O185</f>
        <v>1712765</v>
      </c>
      <c r="P27" s="76">
        <f>Calc!P185</f>
        <v>1791810</v>
      </c>
      <c r="Q27" s="76">
        <f>Calc!Q185</f>
        <v>1870855</v>
      </c>
      <c r="R27" s="76">
        <f>Calc!R185</f>
        <v>1870855</v>
      </c>
      <c r="S27" s="76">
        <f>Calc!S185</f>
        <v>1870855</v>
      </c>
      <c r="T27" s="76">
        <f>Calc!T185</f>
        <v>1870855</v>
      </c>
    </row>
    <row r="28">
      <c r="B28" s="13" t="inlineStr">
        <is>
          <t>Approved budget</t>
        </is>
      </c>
      <c r="C28" s="6" t="n"/>
      <c r="D28" s="6" t="n"/>
      <c r="E28" s="6" t="n"/>
      <c r="F28" s="57">
        <f>ApprovedBudget</f>
        <v>1925000</v>
      </c>
      <c r="G28" s="57">
        <f>ApprovedBudget</f>
        <v>1925000</v>
      </c>
      <c r="H28" s="57">
        <f>ApprovedBudget</f>
        <v>1925000</v>
      </c>
      <c r="I28" s="57">
        <f>ApprovedBudget</f>
        <v>1925000</v>
      </c>
      <c r="J28" s="57">
        <f>ApprovedBudget</f>
        <v>1925000</v>
      </c>
      <c r="K28" s="57">
        <f>ApprovedBudget</f>
        <v>1925000</v>
      </c>
      <c r="L28" s="57">
        <f>ApprovedBudget</f>
        <v>1925000</v>
      </c>
      <c r="M28" s="57">
        <f>ApprovedBudget</f>
        <v>1925000</v>
      </c>
      <c r="N28" s="57">
        <f>ApprovedBudget</f>
        <v>1925000</v>
      </c>
      <c r="O28" s="57">
        <f>ApprovedBudget</f>
        <v>1925000</v>
      </c>
      <c r="P28" s="57">
        <f>ApprovedBudget</f>
        <v>1925000</v>
      </c>
      <c r="Q28" s="57">
        <f>ApprovedBudget</f>
        <v>1925000</v>
      </c>
      <c r="R28" s="57">
        <f>ApprovedBudget</f>
        <v>1925000</v>
      </c>
      <c r="S28" s="57">
        <f>ApprovedBudget</f>
        <v>1925000</v>
      </c>
      <c r="T28" s="57">
        <f>ApprovedBudget</f>
        <v>1925000</v>
      </c>
    </row>
    <row r="29">
      <c r="B29" s="13" t="inlineStr">
        <is>
          <t>Forecast months (chart shading)</t>
        </is>
      </c>
      <c r="C29" s="6" t="n"/>
      <c r="D29" s="6" t="n"/>
      <c r="E29" s="6" t="n"/>
      <c r="F29" s="76">
        <f>ApprovedBudget*(1-Calc!F$8)</f>
        <v>0</v>
      </c>
      <c r="G29" s="76">
        <f>ApprovedBudget*(1-Calc!G$8)</f>
        <v>0</v>
      </c>
      <c r="H29" s="76">
        <f>ApprovedBudget*(1-Calc!H$8)</f>
        <v>0</v>
      </c>
      <c r="I29" s="76">
        <f>ApprovedBudget*(1-Calc!I$8)</f>
        <v>0</v>
      </c>
      <c r="J29" s="76">
        <f>ApprovedBudget*(1-Calc!J$8)</f>
        <v>0</v>
      </c>
      <c r="K29" s="76">
        <f>ApprovedBudget*(1-Calc!K$8)</f>
        <v>0</v>
      </c>
      <c r="L29" s="76">
        <f>ApprovedBudget*(1-Calc!L$8)</f>
        <v>1925000</v>
      </c>
      <c r="M29" s="76">
        <f>ApprovedBudget*(1-Calc!M$8)</f>
        <v>1925000</v>
      </c>
      <c r="N29" s="76">
        <f>ApprovedBudget*(1-Calc!N$8)</f>
        <v>1925000</v>
      </c>
      <c r="O29" s="76">
        <f>ApprovedBudget*(1-Calc!O$8)</f>
        <v>1925000</v>
      </c>
      <c r="P29" s="76">
        <f>ApprovedBudget*(1-Calc!P$8)</f>
        <v>1925000</v>
      </c>
      <c r="Q29" s="76">
        <f>ApprovedBudget*(1-Calc!Q$8)</f>
        <v>1925000</v>
      </c>
      <c r="R29" s="76">
        <f>ApprovedBudget*(1-Calc!R$8)</f>
        <v>1925000</v>
      </c>
      <c r="S29" s="76">
        <f>ApprovedBudget*(1-Calc!S$8)</f>
        <v>1925000</v>
      </c>
      <c r="T29" s="76">
        <f>ApprovedBudget*(1-Calc!T$8)</f>
        <v>1925000</v>
      </c>
    </row>
  </sheetData>
  <sheetProtection selectLockedCells="0" selectUnlockedCells="0" sheet="1" objects="0" insertRows="1" insertHyperlinks="1" autoFilter="1" scenarios="0" formatColumns="0" deleteColumns="1" insertColumns="1" pivotTables="1" deleteRows="1" formatCells="1" formatRows="0" sort="1"/>
  <conditionalFormatting sqref="D23 F23:T23">
    <cfRule type="cellIs" priority="1" operator="greaterThan" dxfId="0">
      <formula>0.5</formula>
    </cfRule>
    <cfRule type="cellIs" priority="2" operator="lessThan" dxfId="1">
      <formula>-0.5</formula>
    </cfRule>
  </conditionalFormatting>
  <conditionalFormatting sqref="F5:T6">
    <cfRule type="expression" priority="3" dxfId="7" stopIfTrue="0">
      <formula>F$6="Actual"</formula>
    </cfRule>
  </conditionalFormatting>
  <conditionalFormatting sqref="F9:T13">
    <cfRule type="expression" priority="4" dxfId="8" stopIfTrue="0">
      <formula>F$6="Actual"</formula>
    </cfRule>
  </conditionalFormatting>
  <conditionalFormatting sqref="F16:T20">
    <cfRule type="expression" priority="5" dxfId="8" stopIfTrue="0">
      <formula>F$6="Actual"</formula>
    </cfRule>
  </conditionalFormatting>
  <conditionalFormatting sqref="F23:T23">
    <cfRule type="expression" priority="6" dxfId="8" stopIfTrue="0">
      <formula>F$6="Actual"</formula>
    </cfRule>
  </conditionalFormatting>
  <conditionalFormatting sqref="F26:T29">
    <cfRule type="expression" priority="7" dxfId="8" stopIfTrue="0">
      <formula>F$6="Actual"</formula>
    </cfRule>
  </conditionalFormatting>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5.xml><?xml version="1.0" encoding="utf-8"?>
<worksheet xmlns="http://schemas.openxmlformats.org/spreadsheetml/2006/main">
  <sheetPr>
    <tabColor rgb="00D9A400"/>
    <outlinePr summaryBelow="1" summaryRight="1"/>
    <pageSetUpPr fitToPage="1"/>
  </sheetPr>
  <dimension ref="B2:N101"/>
  <sheetViews>
    <sheetView showGridLines="0" zoomScale="100" workbookViewId="0">
      <selection activeCell="A1" sqref="A1"/>
    </sheetView>
  </sheetViews>
  <sheetFormatPr baseColWidth="8" defaultRowHeight="15" customHeight="1"/>
  <cols>
    <col width="2.5" customWidth="1" min="1" max="1"/>
    <col width="40"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2.5" customWidth="1" min="14" max="14"/>
  </cols>
  <sheetData>
    <row r="1" ht="10" customHeight="1"/>
    <row r="2" ht="30" customHeight="1">
      <c r="B2" s="49" t="inlineStr">
        <is>
          <t>Inputs</t>
        </is>
      </c>
    </row>
    <row r="3" ht="18" customHeight="1">
      <c r="B3" s="24" t="inlineStr">
        <is>
          <t>Every assumption the model uses. Change a blue cell and every sheet updates. Baseline columns hold the plan approved on 12 March 2026: leave them, and put changes in the current columns.</t>
        </is>
      </c>
    </row>
    <row r="5" ht="22" customHeight="1">
      <c r="B5" s="39" t="inlineStr">
        <is>
          <t>1  Project</t>
        </is>
      </c>
      <c r="C5" s="40" t="n"/>
      <c r="D5" s="40" t="n"/>
      <c r="E5" s="40" t="n"/>
      <c r="F5" s="40" t="n"/>
      <c r="G5" s="40" t="n"/>
      <c r="H5" s="40" t="n"/>
      <c r="I5" s="40" t="n"/>
      <c r="J5" s="40" t="n"/>
      <c r="K5" s="40" t="n"/>
      <c r="L5" s="40" t="n"/>
      <c r="M5" s="40" t="n"/>
      <c r="N5" s="40" t="n"/>
    </row>
    <row r="6" ht="20" customHeight="1">
      <c r="B6" s="53" t="inlineStr">
        <is>
          <t>Setting</t>
        </is>
      </c>
      <c r="C6" s="54" t="inlineStr">
        <is>
          <t>Value</t>
        </is>
      </c>
      <c r="D6" s="53" t="inlineStr">
        <is>
          <t>Unit</t>
        </is>
      </c>
    </row>
    <row r="7">
      <c r="B7" s="13" t="inlineStr">
        <is>
          <t>Company</t>
        </is>
      </c>
      <c r="C7" s="77" t="inlineStr">
        <is>
          <t>Tidewell Coffee Co.</t>
        </is>
      </c>
      <c r="D7" s="78" t="n"/>
      <c r="E7" s="79" t="n"/>
      <c r="F7" s="14" t="inlineStr">
        <is>
          <t>Shown in titles</t>
        </is>
      </c>
      <c r="G7" s="6" t="n"/>
      <c r="H7" s="6" t="n"/>
      <c r="I7" s="6" t="n"/>
      <c r="J7" s="6" t="n"/>
      <c r="K7" s="6" t="n"/>
      <c r="L7" s="6" t="n"/>
      <c r="M7" s="6" t="n"/>
      <c r="N7" s="6" t="n"/>
    </row>
    <row r="8">
      <c r="B8" s="13" t="inlineStr">
        <is>
          <t>Project</t>
        </is>
      </c>
      <c r="C8" s="77" t="inlineStr">
        <is>
          <t>Tidewell App 2.0</t>
        </is>
      </c>
      <c r="D8" s="78" t="n"/>
      <c r="E8" s="79" t="n"/>
      <c r="F8" s="14" t="inlineStr">
        <is>
          <t>Shown in titles</t>
        </is>
      </c>
      <c r="G8" s="6" t="n"/>
      <c r="H8" s="6" t="n"/>
      <c r="I8" s="6" t="n"/>
      <c r="J8" s="6" t="n"/>
      <c r="K8" s="6" t="n"/>
      <c r="L8" s="6" t="n"/>
      <c r="M8" s="6" t="n"/>
      <c r="N8" s="6" t="n"/>
    </row>
    <row r="9">
      <c r="B9" s="13" t="inlineStr">
        <is>
          <t>Currency</t>
        </is>
      </c>
      <c r="C9" s="77" t="inlineStr">
        <is>
          <t>USD</t>
        </is>
      </c>
      <c r="D9" s="78" t="n"/>
      <c r="E9" s="79" t="n"/>
      <c r="F9" s="14" t="inlineStr">
        <is>
          <t>Shown in titles; amounts are not converted</t>
        </is>
      </c>
      <c r="G9" s="6" t="n"/>
      <c r="H9" s="6" t="n"/>
      <c r="I9" s="6" t="n"/>
      <c r="J9" s="6" t="n"/>
      <c r="K9" s="6" t="n"/>
      <c r="L9" s="6" t="n"/>
      <c r="M9" s="6" t="n"/>
      <c r="N9" s="6" t="n"/>
    </row>
    <row r="10">
      <c r="B10" s="13" t="inlineStr">
        <is>
          <t>First month of the project</t>
        </is>
      </c>
      <c r="C10" s="80" t="n">
        <v>46113</v>
      </c>
      <c r="D10" s="6" t="n"/>
      <c r="E10" s="6" t="n"/>
      <c r="F10" s="14" t="inlineStr">
        <is>
          <t>Every timeline starts here</t>
        </is>
      </c>
      <c r="G10" s="6" t="n"/>
      <c r="H10" s="6" t="n"/>
      <c r="I10" s="6" t="n"/>
      <c r="J10" s="6" t="n"/>
      <c r="K10" s="6" t="n"/>
      <c r="L10" s="6" t="n"/>
      <c r="M10" s="6" t="n"/>
      <c r="N10" s="6" t="n"/>
    </row>
    <row r="11">
      <c r="B11" s="13" t="inlineStr">
        <is>
          <t>Actuals through</t>
        </is>
      </c>
      <c r="C11" s="80" t="n">
        <v>46266</v>
      </c>
      <c r="D11" s="6" t="n"/>
      <c r="E11" s="6" t="n"/>
      <c r="F11" s="14" t="inlineStr">
        <is>
          <t>The last month finance has closed. Up to here: actuals. After it: forecast.</t>
        </is>
      </c>
      <c r="G11" s="6" t="n"/>
      <c r="H11" s="6" t="n"/>
      <c r="I11" s="6" t="n"/>
      <c r="J11" s="6" t="n"/>
      <c r="K11" s="6" t="n"/>
      <c r="L11" s="6" t="n"/>
      <c r="M11" s="6" t="n"/>
      <c r="N11" s="6" t="n"/>
    </row>
    <row r="12">
      <c r="B12" s="13" t="inlineStr">
        <is>
          <t>Contractor billable days per month</t>
        </is>
      </c>
      <c r="C12" s="81" t="n">
        <v>18</v>
      </c>
      <c r="D12" s="14" t="inlineStr">
        <is>
          <t>days</t>
        </is>
      </c>
      <c r="E12" s="6" t="n"/>
      <c r="F12" s="14" t="inlineStr">
        <is>
          <t>Days a day-rate contractor bills in an average month</t>
        </is>
      </c>
      <c r="G12" s="6" t="n"/>
      <c r="H12" s="6" t="n"/>
      <c r="I12" s="6" t="n"/>
      <c r="J12" s="6" t="n"/>
      <c r="K12" s="6" t="n"/>
      <c r="L12" s="6" t="n"/>
      <c r="M12" s="6" t="n"/>
      <c r="N12" s="6" t="n"/>
    </row>
    <row r="13">
      <c r="B13" s="13" t="inlineStr">
        <is>
          <t>Approved budget, including contingency</t>
        </is>
      </c>
      <c r="C13" s="82" t="n">
        <v>1925000</v>
      </c>
      <c r="D13" s="14" t="inlineStr">
        <is>
          <t>USD</t>
        </is>
      </c>
      <c r="E13" s="6" t="n"/>
      <c r="F13" s="14" t="inlineStr">
        <is>
          <t>Business case approved by the steering committee, 12 March 2026</t>
        </is>
      </c>
      <c r="G13" s="6" t="n"/>
      <c r="H13" s="6" t="n"/>
      <c r="I13" s="6" t="n"/>
      <c r="J13" s="6" t="n"/>
      <c r="K13" s="6" t="n"/>
      <c r="L13" s="6" t="n"/>
      <c r="M13" s="6" t="n"/>
      <c r="N13" s="6" t="n"/>
    </row>
    <row r="14">
      <c r="B14" s="13" t="inlineStr">
        <is>
          <t>Base budget at approval</t>
        </is>
      </c>
      <c r="C14" s="82" t="n">
        <v>1747245</v>
      </c>
      <c r="D14" s="14" t="inlineStr">
        <is>
          <t>USD</t>
        </is>
      </c>
      <c r="E14" s="6" t="n"/>
      <c r="F14" s="14" t="inlineStr">
        <is>
          <t>The phased plan as approved. Checks uses it to spot edits to the baseline.</t>
        </is>
      </c>
      <c r="G14" s="6" t="n"/>
      <c r="H14" s="6" t="n"/>
      <c r="I14" s="6" t="n"/>
      <c r="J14" s="6" t="n"/>
      <c r="K14" s="6" t="n"/>
      <c r="L14" s="6" t="n"/>
      <c r="M14" s="6" t="n"/>
      <c r="N14" s="6" t="n"/>
    </row>
    <row r="15">
      <c r="B15" s="13" t="inlineStr">
        <is>
          <t>Status turns amber below</t>
        </is>
      </c>
      <c r="C15" s="83" t="n">
        <v>0.5</v>
      </c>
      <c r="D15" s="14" t="inlineStr">
        <is>
          <t>of contingency left</t>
        </is>
      </c>
      <c r="E15" s="6" t="n"/>
      <c r="F15" s="14" t="inlineStr">
        <is>
          <t>Green above, amber below, red when the forecast exceeds the approved budget</t>
        </is>
      </c>
      <c r="G15" s="6" t="n"/>
      <c r="H15" s="6" t="n"/>
      <c r="I15" s="6" t="n"/>
      <c r="J15" s="6" t="n"/>
      <c r="K15" s="6" t="n"/>
      <c r="L15" s="6" t="n"/>
      <c r="M15" s="6" t="n"/>
      <c r="N15" s="6" t="n"/>
    </row>
    <row r="17" ht="22" customHeight="1">
      <c r="B17" s="39" t="inlineStr">
        <is>
          <t>2  What-if</t>
        </is>
      </c>
      <c r="C17" s="40" t="n"/>
      <c r="D17" s="40" t="n"/>
      <c r="E17" s="40" t="n"/>
      <c r="F17" s="40" t="n"/>
      <c r="G17" s="40" t="n"/>
      <c r="H17" s="40" t="n"/>
      <c r="I17" s="40" t="n"/>
      <c r="J17" s="40" t="n"/>
      <c r="K17" s="40" t="n"/>
      <c r="L17" s="40" t="n"/>
      <c r="M17" s="40" t="n"/>
      <c r="N17" s="40" t="n"/>
    </row>
    <row r="18">
      <c r="B18" s="41" t="inlineStr">
        <is>
          <t>Try a different future without touching the forecast. Set everything back to 0 / No for the official forecast.</t>
        </is>
      </c>
    </row>
    <row r="19" ht="20" customHeight="1">
      <c r="B19" s="53" t="inlineStr">
        <is>
          <t>Lever</t>
        </is>
      </c>
      <c r="C19" s="54" t="inlineStr">
        <is>
          <t>Value</t>
        </is>
      </c>
      <c r="D19" s="53" t="inlineStr">
        <is>
          <t>Unit</t>
        </is>
      </c>
    </row>
    <row r="20">
      <c r="B20" s="13" t="inlineStr">
        <is>
          <t>Include pending change requests</t>
        </is>
      </c>
      <c r="C20" s="84" t="inlineStr">
        <is>
          <t>No</t>
        </is>
      </c>
      <c r="D20" s="6" t="n"/>
      <c r="E20" s="6" t="n"/>
      <c r="F20" s="14" t="inlineStr">
        <is>
          <t>Yes adds the change requests still waiting for a decision (Purchases sheet) to the forecast</t>
        </is>
      </c>
      <c r="G20" s="6" t="n"/>
      <c r="H20" s="6" t="n"/>
      <c r="I20" s="6" t="n"/>
      <c r="J20" s="6" t="n"/>
      <c r="K20" s="6" t="n"/>
      <c r="L20" s="6" t="n"/>
      <c r="M20" s="6" t="n"/>
      <c r="N20" s="6" t="n"/>
    </row>
    <row r="21">
      <c r="B21" s="13" t="inlineStr">
        <is>
          <t>Contractor rate change</t>
        </is>
      </c>
      <c r="C21" s="85" t="n">
        <v>0</v>
      </c>
      <c r="D21" s="6" t="n"/>
      <c r="E21" s="6" t="n"/>
      <c r="F21" s="14" t="inlineStr">
        <is>
          <t>Applied to every contractor day rate in the forecast months, e.g. 5% for a rate rise</t>
        </is>
      </c>
      <c r="G21" s="6" t="n"/>
      <c r="H21" s="6" t="n"/>
      <c r="I21" s="6" t="n"/>
      <c r="J21" s="6" t="n"/>
      <c r="K21" s="6" t="n"/>
      <c r="L21" s="6" t="n"/>
      <c r="M21" s="6" t="n"/>
      <c r="N21" s="6" t="n"/>
    </row>
    <row r="22">
      <c r="B22" s="13" t="inlineStr">
        <is>
          <t>Extra months per phase</t>
        </is>
      </c>
      <c r="C22" s="86">
        <f>SUM(WhatIfMonths)</f>
        <v>0</v>
      </c>
      <c r="D22" s="14" t="inlineStr">
        <is>
          <t>months</t>
        </is>
      </c>
      <c r="E22" s="6" t="n"/>
      <c r="F22" s="14" t="inlineStr">
        <is>
          <t>Set in the What-if column of the schedule below, per phase</t>
        </is>
      </c>
      <c r="G22" s="6" t="n"/>
      <c r="H22" s="6" t="n"/>
      <c r="I22" s="6" t="n"/>
      <c r="J22" s="6" t="n"/>
      <c r="K22" s="6" t="n"/>
      <c r="L22" s="6" t="n"/>
      <c r="M22" s="6" t="n"/>
      <c r="N22" s="6" t="n"/>
    </row>
    <row r="23">
      <c r="B23" s="42" t="inlineStr">
        <is>
          <t>Scenario shown</t>
        </is>
      </c>
      <c r="C23" s="42" t="str">
        <f>IF(AND(SUM(WhatIfMonths)=0,IncludePending="No",RateChange=0),"Current forecast","What-if, not the official forecast")</f>
        <v>Current forecast</v>
      </c>
    </row>
    <row r="25" ht="22" customHeight="1">
      <c r="B25" s="39" t="inlineStr">
        <is>
          <t>3  Schedule</t>
        </is>
      </c>
      <c r="C25" s="40" t="n"/>
      <c r="D25" s="40" t="n"/>
      <c r="E25" s="40" t="n"/>
      <c r="F25" s="40" t="n"/>
      <c r="G25" s="40" t="n"/>
      <c r="H25" s="40" t="n"/>
      <c r="I25" s="40" t="n"/>
      <c r="J25" s="40" t="n"/>
      <c r="K25" s="40" t="n"/>
      <c r="L25" s="40" t="n"/>
      <c r="M25" s="40" t="n"/>
      <c r="N25" s="40" t="n"/>
    </row>
    <row r="26">
      <c r="B26" s="41" t="inlineStr">
        <is>
          <t>Five phases back to back, in whole months. Baseline: the plan approved in March. Current: the engineering lead's plan at the status date.</t>
        </is>
      </c>
    </row>
    <row r="27">
      <c r="C27" s="50" t="inlineStr">
        <is>
          <t>Months</t>
        </is>
      </c>
      <c r="D27" s="51" t="n"/>
      <c r="E27" s="51" t="n"/>
      <c r="F27" s="51" t="n"/>
      <c r="G27" s="50" t="inlineStr">
        <is>
          <t>Starts in month</t>
        </is>
      </c>
      <c r="H27" s="51" t="n"/>
      <c r="I27" s="50" t="inlineStr">
        <is>
          <t>Dates</t>
        </is>
      </c>
      <c r="J27" s="51" t="n"/>
      <c r="K27" s="51" t="n"/>
      <c r="L27" s="51" t="n"/>
    </row>
    <row r="28" ht="20" customHeight="1">
      <c r="B28" s="53" t="inlineStr">
        <is>
          <t>Phase</t>
        </is>
      </c>
      <c r="C28" s="54" t="inlineStr">
        <is>
          <t>Baseline</t>
        </is>
      </c>
      <c r="D28" s="54" t="inlineStr">
        <is>
          <t>Current</t>
        </is>
      </c>
      <c r="E28" s="54" t="inlineStr">
        <is>
          <t>What-if</t>
        </is>
      </c>
      <c r="F28" s="54" t="inlineStr">
        <is>
          <t>Forecast</t>
        </is>
      </c>
      <c r="G28" s="54" t="inlineStr">
        <is>
          <t>Baseline</t>
        </is>
      </c>
      <c r="H28" s="54" t="inlineStr">
        <is>
          <t>Forecast</t>
        </is>
      </c>
      <c r="I28" s="54" t="inlineStr">
        <is>
          <t>Baseline start</t>
        </is>
      </c>
      <c r="J28" s="54" t="inlineStr">
        <is>
          <t>Baseline end</t>
        </is>
      </c>
      <c r="K28" s="54" t="inlineStr">
        <is>
          <t>Forecast start</t>
        </is>
      </c>
      <c r="L28" s="54" t="inlineStr">
        <is>
          <t>Forecast end</t>
        </is>
      </c>
    </row>
    <row r="29">
      <c r="B29" s="13" t="inlineStr">
        <is>
          <t>Discovery</t>
        </is>
      </c>
      <c r="C29" s="81" t="n">
        <v>1</v>
      </c>
      <c r="D29" s="81" t="n">
        <v>1</v>
      </c>
      <c r="E29" s="87" t="n">
        <v>0</v>
      </c>
      <c r="F29" s="88">
        <f>D29+E29</f>
        <v>1</v>
      </c>
      <c r="G29" s="88">
        <f>SUM(C$28:C28)+1</f>
        <v>1</v>
      </c>
      <c r="H29" s="88">
        <f>SUM(F$28:F28)+1</f>
        <v>1</v>
      </c>
      <c r="I29" s="89">
        <f>EDATE(StartMonth,G29-1)</f>
        <v>46113</v>
      </c>
      <c r="J29" s="89">
        <f>EDATE(StartMonth,G29+C29-2)</f>
        <v>46113</v>
      </c>
      <c r="K29" s="89">
        <f>EDATE(StartMonth,H29-1)</f>
        <v>46113</v>
      </c>
      <c r="L29" s="89">
        <f>EDATE(StartMonth,H29+F29-2)</f>
        <v>46113</v>
      </c>
      <c r="N29" s="27" t="inlineStr">
        <is>
          <t>Interviews, journeys, scope</t>
        </is>
      </c>
    </row>
    <row r="30">
      <c r="B30" s="13" t="inlineStr">
        <is>
          <t>Design</t>
        </is>
      </c>
      <c r="C30" s="81" t="n">
        <v>2</v>
      </c>
      <c r="D30" s="81" t="n">
        <v>2</v>
      </c>
      <c r="E30" s="87" t="n">
        <v>0</v>
      </c>
      <c r="F30" s="88">
        <f>D30+E30</f>
        <v>2</v>
      </c>
      <c r="G30" s="88">
        <f>SUM(C$28:C29)+1</f>
        <v>2</v>
      </c>
      <c r="H30" s="88">
        <f>SUM(F$28:F29)+1</f>
        <v>2</v>
      </c>
      <c r="I30" s="89">
        <f>EDATE(StartMonth,G30-1)</f>
        <v>46143</v>
      </c>
      <c r="J30" s="89">
        <f>EDATE(StartMonth,G30+C30-2)</f>
        <v>46174</v>
      </c>
      <c r="K30" s="89">
        <f>EDATE(StartMonth,H30-1)</f>
        <v>46143</v>
      </c>
      <c r="L30" s="89">
        <f>EDATE(StartMonth,H30+F30-2)</f>
        <v>46174</v>
      </c>
      <c r="N30" s="27" t="inlineStr">
        <is>
          <t>Flows, prototype, design system</t>
        </is>
      </c>
    </row>
    <row r="31">
      <c r="B31" s="13" t="inlineStr">
        <is>
          <t>Build</t>
        </is>
      </c>
      <c r="C31" s="81" t="n">
        <v>5</v>
      </c>
      <c r="D31" s="81" t="n">
        <v>5</v>
      </c>
      <c r="E31" s="87" t="n">
        <v>0</v>
      </c>
      <c r="F31" s="88">
        <f>D31+E31</f>
        <v>5</v>
      </c>
      <c r="G31" s="88">
        <f>SUM(C$28:C30)+1</f>
        <v>4</v>
      </c>
      <c r="H31" s="88">
        <f>SUM(F$28:F30)+1</f>
        <v>4</v>
      </c>
      <c r="I31" s="89">
        <f>EDATE(StartMonth,G31-1)</f>
        <v>46204</v>
      </c>
      <c r="J31" s="89">
        <f>EDATE(StartMonth,G31+C31-2)</f>
        <v>46327</v>
      </c>
      <c r="K31" s="89">
        <f>EDATE(StartMonth,H31-1)</f>
        <v>46204</v>
      </c>
      <c r="L31" s="89">
        <f>EDATE(StartMonth,H31+F31-2)</f>
        <v>46327</v>
      </c>
      <c r="N31" s="27" t="inlineStr">
        <is>
          <t>iOS, Android, backend and integrations</t>
        </is>
      </c>
    </row>
    <row r="32">
      <c r="B32" s="13" t="inlineStr">
        <is>
          <t>Launch prep</t>
        </is>
      </c>
      <c r="C32" s="81" t="n">
        <v>2</v>
      </c>
      <c r="D32" s="81" t="n">
        <v>2</v>
      </c>
      <c r="E32" s="87" t="n">
        <v>0</v>
      </c>
      <c r="F32" s="88">
        <f>D32+E32</f>
        <v>2</v>
      </c>
      <c r="G32" s="88">
        <f>SUM(C$28:C31)+1</f>
        <v>9</v>
      </c>
      <c r="H32" s="88">
        <f>SUM(F$28:F31)+1</f>
        <v>9</v>
      </c>
      <c r="I32" s="89">
        <f>EDATE(StartMonth,G32-1)</f>
        <v>46357</v>
      </c>
      <c r="J32" s="89">
        <f>EDATE(StartMonth,G32+C32-2)</f>
        <v>46388</v>
      </c>
      <c r="K32" s="89">
        <f>EDATE(StartMonth,H32-1)</f>
        <v>46357</v>
      </c>
      <c r="L32" s="89">
        <f>EDATE(StartMonth,H32+F32-2)</f>
        <v>46388</v>
      </c>
      <c r="N32" s="27" t="inlineStr">
        <is>
          <t>Beta, security and accessibility, store release</t>
        </is>
      </c>
    </row>
    <row r="33">
      <c r="B33" s="13" t="inlineStr">
        <is>
          <t>Hypercare</t>
        </is>
      </c>
      <c r="C33" s="81" t="n">
        <v>2</v>
      </c>
      <c r="D33" s="81" t="n">
        <v>2</v>
      </c>
      <c r="E33" s="87" t="n">
        <v>0</v>
      </c>
      <c r="F33" s="88">
        <f>D33+E33</f>
        <v>2</v>
      </c>
      <c r="G33" s="88">
        <f>SUM(C$28:C32)+1</f>
        <v>11</v>
      </c>
      <c r="H33" s="88">
        <f>SUM(F$28:F32)+1</f>
        <v>11</v>
      </c>
      <c r="I33" s="89">
        <f>EDATE(StartMonth,G33-1)</f>
        <v>46419</v>
      </c>
      <c r="J33" s="89">
        <f>EDATE(StartMonth,G33+C33-2)</f>
        <v>46447</v>
      </c>
      <c r="K33" s="89">
        <f>EDATE(StartMonth,H33-1)</f>
        <v>46419</v>
      </c>
      <c r="L33" s="89">
        <f>EDATE(StartMonth,H33+F33-2)</f>
        <v>46447</v>
      </c>
      <c r="N33" s="27" t="inlineStr">
        <is>
          <t>Fixes and tuning after launch</t>
        </is>
      </c>
    </row>
    <row r="34">
      <c r="B34" s="60" t="inlineStr">
        <is>
          <t>Whole project</t>
        </is>
      </c>
      <c r="C34" s="90">
        <f>SUM(C29:C33)</f>
        <v>12</v>
      </c>
      <c r="D34" s="90">
        <f>SUM(D29:D33)</f>
        <v>12</v>
      </c>
      <c r="E34" s="90">
        <f>SUM(E29:E33)</f>
        <v>0</v>
      </c>
      <c r="F34" s="90">
        <f>SUM(F29:F33)</f>
        <v>12</v>
      </c>
      <c r="G34" s="75" t="n"/>
      <c r="H34" s="75" t="n"/>
      <c r="I34" s="91">
        <f>I29</f>
        <v>46113</v>
      </c>
      <c r="J34" s="91">
        <f>MAX(J29:J33)</f>
        <v>46447</v>
      </c>
      <c r="K34" s="91">
        <f>K29</f>
        <v>46113</v>
      </c>
      <c r="L34" s="91">
        <f>MAX(L29:L33)</f>
        <v>46447</v>
      </c>
    </row>
    <row r="35">
      <c r="B35" s="42" t="inlineStr">
        <is>
          <t>Launch: the end of Launch prep</t>
        </is>
      </c>
      <c r="J35" s="92">
        <f>J32</f>
        <v>46388</v>
      </c>
      <c r="L35" s="92">
        <f>L32</f>
        <v>46388</v>
      </c>
    </row>
    <row r="36">
      <c r="B36" s="11" t="inlineStr">
        <is>
          <t>Launch moves by</t>
        </is>
      </c>
      <c r="C36" s="93">
        <f>(YEAR(FcLaunch)-YEAR(BaseLaunch))*12+MONTH(FcLaunch)-MONTH(BaseLaunch)</f>
        <v>0</v>
      </c>
      <c r="D36" s="27" t="inlineStr">
        <is>
          <t>months</t>
        </is>
      </c>
    </row>
    <row r="38" ht="22" customHeight="1">
      <c r="B38" s="39" t="inlineStr">
        <is>
          <t>4  Cost lines</t>
        </is>
      </c>
      <c r="C38" s="40" t="n"/>
      <c r="D38" s="40" t="n"/>
      <c r="E38" s="40" t="n"/>
      <c r="F38" s="40" t="n"/>
      <c r="G38" s="40" t="n"/>
      <c r="H38" s="40" t="n"/>
      <c r="I38" s="40" t="n"/>
      <c r="J38" s="40" t="n"/>
      <c r="K38" s="40" t="n"/>
      <c r="L38" s="40" t="n"/>
      <c r="M38" s="40" t="n"/>
      <c r="N38" s="40" t="n"/>
    </row>
    <row r="39">
      <c r="B39" s="41" t="inlineStr">
        <is>
          <t>The project's chart of accounts. Actuals, plan and forecast all use these names.</t>
        </is>
      </c>
    </row>
    <row r="40" ht="20" customHeight="1">
      <c r="B40" s="53" t="inlineStr">
        <is>
          <t>Cost line</t>
        </is>
      </c>
      <c r="C40" s="53" t="inlineStr">
        <is>
          <t>Group</t>
        </is>
      </c>
      <c r="D40" s="53" t="n"/>
      <c r="E40" s="53" t="inlineStr">
        <is>
          <t>What it covers</t>
        </is>
      </c>
    </row>
    <row r="41">
      <c r="B41" s="94" t="inlineStr">
        <is>
          <t>Product management</t>
        </is>
      </c>
      <c r="C41" s="94" t="inlineStr">
        <is>
          <t>Team</t>
        </is>
      </c>
      <c r="D41" s="6" t="n"/>
      <c r="E41" s="14" t="inlineStr">
        <is>
          <t>Product manager (internal)</t>
        </is>
      </c>
      <c r="F41" s="6" t="n"/>
      <c r="G41" s="6" t="n"/>
      <c r="H41" s="6" t="n"/>
      <c r="I41" s="6" t="n"/>
      <c r="J41" s="6" t="n"/>
      <c r="K41" s="6" t="n"/>
      <c r="L41" s="6" t="n"/>
      <c r="M41" s="6" t="n"/>
      <c r="N41" s="6" t="n"/>
    </row>
    <row r="42">
      <c r="B42" s="94" t="inlineStr">
        <is>
          <t>Product design</t>
        </is>
      </c>
      <c r="C42" s="94" t="inlineStr">
        <is>
          <t>Team</t>
        </is>
      </c>
      <c r="D42" s="6" t="n"/>
      <c r="E42" s="14" t="inlineStr">
        <is>
          <t>UX and UI designers (internal)</t>
        </is>
      </c>
      <c r="F42" s="6" t="n"/>
      <c r="G42" s="6" t="n"/>
      <c r="H42" s="6" t="n"/>
      <c r="I42" s="6" t="n"/>
      <c r="J42" s="6" t="n"/>
      <c r="K42" s="6" t="n"/>
      <c r="L42" s="6" t="n"/>
      <c r="M42" s="6" t="n"/>
      <c r="N42" s="6" t="n"/>
    </row>
    <row r="43">
      <c r="B43" s="94" t="inlineStr">
        <is>
          <t>iOS development</t>
        </is>
      </c>
      <c r="C43" s="94" t="inlineStr">
        <is>
          <t>Team</t>
        </is>
      </c>
      <c r="D43" s="6" t="n"/>
      <c r="E43" s="14" t="inlineStr">
        <is>
          <t>iOS engineers from Brightlane Studio</t>
        </is>
      </c>
      <c r="F43" s="6" t="n"/>
      <c r="G43" s="6" t="n"/>
      <c r="H43" s="6" t="n"/>
      <c r="I43" s="6" t="n"/>
      <c r="J43" s="6" t="n"/>
      <c r="K43" s="6" t="n"/>
      <c r="L43" s="6" t="n"/>
      <c r="M43" s="6" t="n"/>
      <c r="N43" s="6" t="n"/>
    </row>
    <row r="44">
      <c r="B44" s="94" t="inlineStr">
        <is>
          <t>Android development</t>
        </is>
      </c>
      <c r="C44" s="94" t="inlineStr">
        <is>
          <t>Team</t>
        </is>
      </c>
      <c r="D44" s="6" t="n"/>
      <c r="E44" s="14" t="inlineStr">
        <is>
          <t>Android engineers from Parallel Apps</t>
        </is>
      </c>
      <c r="F44" s="6" t="n"/>
      <c r="G44" s="6" t="n"/>
      <c r="H44" s="6" t="n"/>
      <c r="I44" s="6" t="n"/>
      <c r="J44" s="6" t="n"/>
      <c r="K44" s="6" t="n"/>
      <c r="L44" s="6" t="n"/>
      <c r="M44" s="6" t="n"/>
      <c r="N44" s="6" t="n"/>
    </row>
    <row r="45">
      <c r="B45" s="94" t="inlineStr">
        <is>
          <t>Backend &amp; integrations</t>
        </is>
      </c>
      <c r="C45" s="94" t="inlineStr">
        <is>
          <t>Team</t>
        </is>
      </c>
      <c r="D45" s="6" t="n"/>
      <c r="E45" s="14" t="inlineStr">
        <is>
          <t>Ordering, payments, rewards and POS integration (internal)</t>
        </is>
      </c>
      <c r="F45" s="6" t="n"/>
      <c r="G45" s="6" t="n"/>
      <c r="H45" s="6" t="n"/>
      <c r="I45" s="6" t="n"/>
      <c r="J45" s="6" t="n"/>
      <c r="K45" s="6" t="n"/>
      <c r="L45" s="6" t="n"/>
      <c r="M45" s="6" t="n"/>
      <c r="N45" s="6" t="n"/>
    </row>
    <row r="46">
      <c r="B46" s="94" t="inlineStr">
        <is>
          <t>Quality assurance</t>
        </is>
      </c>
      <c r="C46" s="94" t="inlineStr">
        <is>
          <t>Team</t>
        </is>
      </c>
      <c r="D46" s="6" t="n"/>
      <c r="E46" s="14" t="inlineStr">
        <is>
          <t>Test engineers from TestHarbor</t>
        </is>
      </c>
      <c r="F46" s="6" t="n"/>
      <c r="G46" s="6" t="n"/>
      <c r="H46" s="6" t="n"/>
      <c r="I46" s="6" t="n"/>
      <c r="J46" s="6" t="n"/>
      <c r="K46" s="6" t="n"/>
      <c r="L46" s="6" t="n"/>
      <c r="M46" s="6" t="n"/>
      <c r="N46" s="6" t="n"/>
    </row>
    <row r="47">
      <c r="B47" s="94" t="inlineStr">
        <is>
          <t>Cloud &amp; DevOps</t>
        </is>
      </c>
      <c r="C47" s="94" t="inlineStr">
        <is>
          <t>Team</t>
        </is>
      </c>
      <c r="D47" s="6" t="n"/>
      <c r="E47" s="14" t="inlineStr">
        <is>
          <t>Infrastructure, releases and security engineering (internal)</t>
        </is>
      </c>
      <c r="F47" s="6" t="n"/>
      <c r="G47" s="6" t="n"/>
      <c r="H47" s="6" t="n"/>
      <c r="I47" s="6" t="n"/>
      <c r="J47" s="6" t="n"/>
      <c r="K47" s="6" t="n"/>
      <c r="L47" s="6" t="n"/>
      <c r="M47" s="6" t="n"/>
      <c r="N47" s="6" t="n"/>
    </row>
    <row r="48">
      <c r="B48" s="94" t="inlineStr">
        <is>
          <t>Engineering lead</t>
        </is>
      </c>
      <c r="C48" s="94" t="inlineStr">
        <is>
          <t>Team</t>
        </is>
      </c>
      <c r="D48" s="6" t="n"/>
      <c r="E48" s="14" t="inlineStr">
        <is>
          <t>Technical lead for the whole build (internal)</t>
        </is>
      </c>
      <c r="F48" s="6" t="n"/>
      <c r="G48" s="6" t="n"/>
      <c r="H48" s="6" t="n"/>
      <c r="I48" s="6" t="n"/>
      <c r="J48" s="6" t="n"/>
      <c r="K48" s="6" t="n"/>
      <c r="L48" s="6" t="n"/>
      <c r="M48" s="6" t="n"/>
      <c r="N48" s="6" t="n"/>
    </row>
    <row r="49">
      <c r="B49" s="94" t="inlineStr">
        <is>
          <t>User research &amp; testing</t>
        </is>
      </c>
      <c r="C49" s="94" t="inlineStr">
        <is>
          <t>Purchases</t>
        </is>
      </c>
      <c r="D49" s="6" t="n"/>
      <c r="E49" s="14" t="inlineStr">
        <is>
          <t>Interviews and usability tests</t>
        </is>
      </c>
      <c r="F49" s="6" t="n"/>
      <c r="G49" s="6" t="n"/>
      <c r="H49" s="6" t="n"/>
      <c r="I49" s="6" t="n"/>
      <c r="J49" s="6" t="n"/>
      <c r="K49" s="6" t="n"/>
      <c r="L49" s="6" t="n"/>
      <c r="M49" s="6" t="n"/>
      <c r="N49" s="6" t="n"/>
    </row>
    <row r="50">
      <c r="B50" s="94" t="inlineStr">
        <is>
          <t>Security &amp; accessibility</t>
        </is>
      </c>
      <c r="C50" s="94" t="inlineStr">
        <is>
          <t>Purchases</t>
        </is>
      </c>
      <c r="D50" s="6" t="n"/>
      <c r="E50" s="14" t="inlineStr">
        <is>
          <t>Penetration test and accessibility audit</t>
        </is>
      </c>
      <c r="F50" s="6" t="n"/>
      <c r="G50" s="6" t="n"/>
      <c r="H50" s="6" t="n"/>
      <c r="I50" s="6" t="n"/>
      <c r="J50" s="6" t="n"/>
      <c r="K50" s="6" t="n"/>
      <c r="L50" s="6" t="n"/>
      <c r="M50" s="6" t="n"/>
      <c r="N50" s="6" t="n"/>
    </row>
    <row r="51">
      <c r="B51" s="94" t="inlineStr">
        <is>
          <t>Payment certification</t>
        </is>
      </c>
      <c r="C51" s="94" t="inlineStr">
        <is>
          <t>Purchases</t>
        </is>
      </c>
      <c r="D51" s="6" t="n"/>
      <c r="E51" s="14" t="inlineStr">
        <is>
          <t>Card-payment compliance review</t>
        </is>
      </c>
      <c r="F51" s="6" t="n"/>
      <c r="G51" s="6" t="n"/>
      <c r="H51" s="6" t="n"/>
      <c r="I51" s="6" t="n"/>
      <c r="J51" s="6" t="n"/>
      <c r="K51" s="6" t="n"/>
      <c r="L51" s="6" t="n"/>
      <c r="M51" s="6" t="n"/>
      <c r="N51" s="6" t="n"/>
    </row>
    <row r="52">
      <c r="B52" s="94" t="inlineStr">
        <is>
          <t>Test devices</t>
        </is>
      </c>
      <c r="C52" s="94" t="inlineStr">
        <is>
          <t>Purchases</t>
        </is>
      </c>
      <c r="D52" s="6" t="n"/>
      <c r="E52" s="14" t="inlineStr">
        <is>
          <t>Phones and tablets for the test lab</t>
        </is>
      </c>
      <c r="F52" s="6" t="n"/>
      <c r="G52" s="6" t="n"/>
      <c r="H52" s="6" t="n"/>
      <c r="I52" s="6" t="n"/>
      <c r="J52" s="6" t="n"/>
      <c r="K52" s="6" t="n"/>
      <c r="L52" s="6" t="n"/>
      <c r="M52" s="6" t="n"/>
      <c r="N52" s="6" t="n"/>
    </row>
    <row r="53">
      <c r="B53" s="94" t="inlineStr">
        <is>
          <t>Launch content</t>
        </is>
      </c>
      <c r="C53" s="94" t="inlineStr">
        <is>
          <t>Purchases</t>
        </is>
      </c>
      <c r="D53" s="6" t="n"/>
      <c r="E53" s="14" t="inlineStr">
        <is>
          <t>App store screenshots, preview video, launch film</t>
        </is>
      </c>
      <c r="F53" s="6" t="n"/>
      <c r="G53" s="6" t="n"/>
      <c r="H53" s="6" t="n"/>
      <c r="I53" s="6" t="n"/>
      <c r="J53" s="6" t="n"/>
      <c r="K53" s="6" t="n"/>
      <c r="L53" s="6" t="n"/>
      <c r="M53" s="6" t="n"/>
      <c r="N53" s="6" t="n"/>
    </row>
    <row r="54">
      <c r="B54" s="94" t="inlineStr">
        <is>
          <t>Cloud hosting</t>
        </is>
      </c>
      <c r="C54" s="94" t="inlineStr">
        <is>
          <t>Platform</t>
        </is>
      </c>
      <c r="D54" s="6" t="n"/>
      <c r="E54" s="14" t="inlineStr">
        <is>
          <t>Development, test and production environments</t>
        </is>
      </c>
      <c r="F54" s="6" t="n"/>
      <c r="G54" s="6" t="n"/>
      <c r="H54" s="6" t="n"/>
      <c r="I54" s="6" t="n"/>
      <c r="J54" s="6" t="n"/>
      <c r="K54" s="6" t="n"/>
      <c r="L54" s="6" t="n"/>
      <c r="M54" s="6" t="n"/>
      <c r="N54" s="6" t="n"/>
    </row>
    <row r="55">
      <c r="B55" s="94" t="inlineStr">
        <is>
          <t>Software &amp; tools</t>
        </is>
      </c>
      <c r="C55" s="94" t="inlineStr">
        <is>
          <t>Platform</t>
        </is>
      </c>
      <c r="D55" s="6" t="n"/>
      <c r="E55" s="14" t="inlineStr">
        <is>
          <t>Design, code, testing and monitoring tools</t>
        </is>
      </c>
      <c r="F55" s="6" t="n"/>
      <c r="G55" s="6" t="n"/>
      <c r="H55" s="6" t="n"/>
      <c r="I55" s="6" t="n"/>
      <c r="J55" s="6" t="n"/>
      <c r="K55" s="6" t="n"/>
      <c r="L55" s="6" t="n"/>
      <c r="M55" s="6" t="n"/>
      <c r="N55" s="6" t="n"/>
    </row>
    <row r="56">
      <c r="B56" s="94" t="inlineStr">
        <is>
          <t>Third-party services</t>
        </is>
      </c>
      <c r="C56" s="94" t="inlineStr">
        <is>
          <t>Platform</t>
        </is>
      </c>
      <c r="D56" s="6" t="n"/>
      <c r="E56" s="14" t="inlineStr">
        <is>
          <t>Maps, push notifications, text messages</t>
        </is>
      </c>
      <c r="F56" s="6" t="n"/>
      <c r="G56" s="6" t="n"/>
      <c r="H56" s="6" t="n"/>
      <c r="I56" s="6" t="n"/>
      <c r="J56" s="6" t="n"/>
      <c r="K56" s="6" t="n"/>
      <c r="L56" s="6" t="n"/>
      <c r="M56" s="6" t="n"/>
      <c r="N56" s="6" t="n"/>
    </row>
    <row r="57">
      <c r="B57" s="94" t="inlineStr">
        <is>
          <t>Approved changes</t>
        </is>
      </c>
      <c r="C57" s="94" t="inlineStr">
        <is>
          <t>Changes</t>
        </is>
      </c>
      <c r="D57" s="6" t="n"/>
      <c r="E57" s="14" t="inlineStr">
        <is>
          <t>Change requests the steering committee approved</t>
        </is>
      </c>
      <c r="F57" s="6" t="n"/>
      <c r="G57" s="6" t="n"/>
      <c r="H57" s="6" t="n"/>
      <c r="I57" s="6" t="n"/>
      <c r="J57" s="6" t="n"/>
      <c r="K57" s="6" t="n"/>
      <c r="L57" s="6" t="n"/>
      <c r="M57" s="6" t="n"/>
      <c r="N57" s="6" t="n"/>
    </row>
    <row r="59" ht="22" customHeight="1">
      <c r="B59" s="39" t="inlineStr">
        <is>
          <t>5  Team rates</t>
        </is>
      </c>
      <c r="C59" s="40" t="n"/>
      <c r="D59" s="40" t="n"/>
      <c r="E59" s="40" t="n"/>
      <c r="F59" s="40" t="n"/>
      <c r="G59" s="40" t="n"/>
      <c r="H59" s="40" t="n"/>
      <c r="I59" s="40" t="n"/>
      <c r="J59" s="40" t="n"/>
      <c r="K59" s="40" t="n"/>
      <c r="L59" s="40" t="n"/>
      <c r="M59" s="40" t="n"/>
      <c r="N59" s="40" t="n"/>
    </row>
    <row r="60">
      <c r="B60" s="41" t="inlineStr">
        <is>
          <t>Internal staff at loaded monthly cost (salary, benefits, overhead). Contractors at a day rate.</t>
        </is>
      </c>
    </row>
    <row r="61" ht="32" customHeight="1">
      <c r="B61" s="53" t="inlineStr">
        <is>
          <t>Role (cost line)</t>
        </is>
      </c>
      <c r="C61" s="53" t="inlineStr">
        <is>
          <t>Sourcing</t>
        </is>
      </c>
      <c r="D61" s="54" t="inlineStr">
        <is>
          <t>Baseline rate</t>
        </is>
      </c>
      <c r="E61" s="54" t="inlineStr">
        <is>
          <t>Current rate</t>
        </is>
      </c>
      <c r="F61" s="95" t="inlineStr">
        <is>
          <t>Per</t>
        </is>
      </c>
      <c r="G61" s="54" t="inlineStr">
        <is>
          <t>Baseline per FTE month</t>
        </is>
      </c>
      <c r="H61" s="54" t="inlineStr">
        <is>
          <t>Forecast per FTE month</t>
        </is>
      </c>
    </row>
    <row r="62">
      <c r="B62" s="13" t="str">
        <f>Inputs!$B$41</f>
        <v>Product management</v>
      </c>
      <c r="C62" s="96" t="inlineStr">
        <is>
          <t>Internal</t>
        </is>
      </c>
      <c r="D62" s="82" t="n">
        <v>14500</v>
      </c>
      <c r="E62" s="82" t="n">
        <v>14500</v>
      </c>
      <c r="F62" s="97" t="str">
        <f>IF(C62="Contractor","day","month")</f>
        <v>month</v>
      </c>
      <c r="G62" s="57">
        <f>IF(C62="Contractor",D62*BillableDays,D62)</f>
        <v>14500</v>
      </c>
      <c r="H62" s="57">
        <f>IF(C62="Contractor",E62*BillableDays*(1+RateChange),E62)</f>
        <v>14500</v>
      </c>
      <c r="I62" s="6" t="n"/>
      <c r="J62" s="14" t="inlineStr">
        <is>
          <t>Loaded monthly cost from HR</t>
        </is>
      </c>
      <c r="K62" s="6" t="n"/>
      <c r="L62" s="6" t="n"/>
      <c r="M62" s="6" t="n"/>
      <c r="N62" s="6" t="n"/>
    </row>
    <row r="63">
      <c r="B63" s="13" t="str">
        <f>Inputs!$B$42</f>
        <v>Product design</v>
      </c>
      <c r="C63" s="96" t="inlineStr">
        <is>
          <t>Internal</t>
        </is>
      </c>
      <c r="D63" s="82" t="n">
        <v>12500</v>
      </c>
      <c r="E63" s="82" t="n">
        <v>12500</v>
      </c>
      <c r="F63" s="97" t="str">
        <f>IF(C63="Contractor","day","month")</f>
        <v>month</v>
      </c>
      <c r="G63" s="57">
        <f>IF(C63="Contractor",D63*BillableDays,D63)</f>
        <v>12500</v>
      </c>
      <c r="H63" s="57">
        <f>IF(C63="Contractor",E63*BillableDays*(1+RateChange),E63)</f>
        <v>12500</v>
      </c>
      <c r="I63" s="6" t="n"/>
      <c r="J63" s="14" t="inlineStr">
        <is>
          <t>Loaded monthly cost from HR</t>
        </is>
      </c>
      <c r="K63" s="6" t="n"/>
      <c r="L63" s="6" t="n"/>
      <c r="M63" s="6" t="n"/>
      <c r="N63" s="6" t="n"/>
    </row>
    <row r="64">
      <c r="B64" s="13" t="str">
        <f>Inputs!$B$43</f>
        <v>iOS development</v>
      </c>
      <c r="C64" s="96" t="inlineStr">
        <is>
          <t>Contractor</t>
        </is>
      </c>
      <c r="D64" s="82" t="n">
        <v>780</v>
      </c>
      <c r="E64" s="82" t="n">
        <v>780</v>
      </c>
      <c r="F64" s="97" t="str">
        <f>IF(C64="Contractor","day","month")</f>
        <v>day</v>
      </c>
      <c r="G64" s="57">
        <f>IF(C64="Contractor",D64*BillableDays,D64)</f>
        <v>14040</v>
      </c>
      <c r="H64" s="57">
        <f>IF(C64="Contractor",E64*BillableDays*(1+RateChange),E64)</f>
        <v>14040</v>
      </c>
      <c r="I64" s="6" t="n"/>
      <c r="J64" s="14" t="inlineStr">
        <is>
          <t>Brightlane Studio day rate, fixed until project end</t>
        </is>
      </c>
      <c r="K64" s="6" t="n"/>
      <c r="L64" s="6" t="n"/>
      <c r="M64" s="6" t="n"/>
      <c r="N64" s="6" t="n"/>
    </row>
    <row r="65">
      <c r="B65" s="13" t="str">
        <f>Inputs!$B$44</f>
        <v>Android development</v>
      </c>
      <c r="C65" s="96" t="inlineStr">
        <is>
          <t>Contractor</t>
        </is>
      </c>
      <c r="D65" s="82" t="n">
        <v>760</v>
      </c>
      <c r="E65" s="82" t="n">
        <v>760</v>
      </c>
      <c r="F65" s="97" t="str">
        <f>IF(C65="Contractor","day","month")</f>
        <v>day</v>
      </c>
      <c r="G65" s="57">
        <f>IF(C65="Contractor",D65*BillableDays,D65)</f>
        <v>13680</v>
      </c>
      <c r="H65" s="57">
        <f>IF(C65="Contractor",E65*BillableDays*(1+RateChange),E65)</f>
        <v>13680</v>
      </c>
      <c r="I65" s="6" t="n"/>
      <c r="J65" s="14" t="inlineStr">
        <is>
          <t>Parallel Apps day rate</t>
        </is>
      </c>
      <c r="K65" s="6" t="n"/>
      <c r="L65" s="6" t="n"/>
      <c r="M65" s="6" t="n"/>
      <c r="N65" s="6" t="n"/>
    </row>
    <row r="66">
      <c r="B66" s="13" t="str">
        <f>Inputs!$B$45</f>
        <v>Backend &amp; integrations</v>
      </c>
      <c r="C66" s="96" t="inlineStr">
        <is>
          <t>Internal</t>
        </is>
      </c>
      <c r="D66" s="82" t="n">
        <v>14000</v>
      </c>
      <c r="E66" s="82" t="n">
        <v>14000</v>
      </c>
      <c r="F66" s="97" t="str">
        <f>IF(C66="Contractor","day","month")</f>
        <v>month</v>
      </c>
      <c r="G66" s="57">
        <f>IF(C66="Contractor",D66*BillableDays,D66)</f>
        <v>14000</v>
      </c>
      <c r="H66" s="57">
        <f>IF(C66="Contractor",E66*BillableDays*(1+RateChange),E66)</f>
        <v>14000</v>
      </c>
      <c r="I66" s="6" t="n"/>
      <c r="J66" s="14" t="inlineStr">
        <is>
          <t>Loaded monthly cost from HR</t>
        </is>
      </c>
      <c r="K66" s="6" t="n"/>
      <c r="L66" s="6" t="n"/>
      <c r="M66" s="6" t="n"/>
      <c r="N66" s="6" t="n"/>
    </row>
    <row r="67">
      <c r="B67" s="13" t="str">
        <f>Inputs!$B$46</f>
        <v>Quality assurance</v>
      </c>
      <c r="C67" s="96" t="inlineStr">
        <is>
          <t>Contractor</t>
        </is>
      </c>
      <c r="D67" s="82" t="n">
        <v>560</v>
      </c>
      <c r="E67" s="82" t="n">
        <v>590</v>
      </c>
      <c r="F67" s="97" t="str">
        <f>IF(C67="Contractor","day","month")</f>
        <v>day</v>
      </c>
      <c r="G67" s="57">
        <f>IF(C67="Contractor",D67*BillableDays,D67)</f>
        <v>10080</v>
      </c>
      <c r="H67" s="57">
        <f>IF(C67="Contractor",E67*BillableDays*(1+RateChange),E67)</f>
        <v>10620</v>
      </c>
      <c r="I67" s="6" t="n"/>
      <c r="J67" s="14" t="inlineStr">
        <is>
          <t>TestHarbor's new rate from October</t>
        </is>
      </c>
      <c r="K67" s="6" t="n"/>
      <c r="L67" s="6" t="n"/>
      <c r="M67" s="6" t="n"/>
      <c r="N67" s="6" t="n"/>
    </row>
    <row r="68">
      <c r="B68" s="13" t="str">
        <f>Inputs!$B$47</f>
        <v>Cloud &amp; DevOps</v>
      </c>
      <c r="C68" s="96" t="inlineStr">
        <is>
          <t>Internal</t>
        </is>
      </c>
      <c r="D68" s="82" t="n">
        <v>14500</v>
      </c>
      <c r="E68" s="82" t="n">
        <v>14500</v>
      </c>
      <c r="F68" s="97" t="str">
        <f>IF(C68="Contractor","day","month")</f>
        <v>month</v>
      </c>
      <c r="G68" s="57">
        <f>IF(C68="Contractor",D68*BillableDays,D68)</f>
        <v>14500</v>
      </c>
      <c r="H68" s="57">
        <f>IF(C68="Contractor",E68*BillableDays*(1+RateChange),E68)</f>
        <v>14500</v>
      </c>
      <c r="I68" s="6" t="n"/>
      <c r="J68" s="14" t="inlineStr">
        <is>
          <t>Loaded monthly cost from HR</t>
        </is>
      </c>
      <c r="K68" s="6" t="n"/>
      <c r="L68" s="6" t="n"/>
      <c r="M68" s="6" t="n"/>
      <c r="N68" s="6" t="n"/>
    </row>
    <row r="69">
      <c r="B69" s="13" t="str">
        <f>Inputs!$B$48</f>
        <v>Engineering lead</v>
      </c>
      <c r="C69" s="96" t="inlineStr">
        <is>
          <t>Internal</t>
        </is>
      </c>
      <c r="D69" s="82" t="n">
        <v>16500</v>
      </c>
      <c r="E69" s="82" t="n">
        <v>16500</v>
      </c>
      <c r="F69" s="97" t="str">
        <f>IF(C69="Contractor","day","month")</f>
        <v>month</v>
      </c>
      <c r="G69" s="57">
        <f>IF(C69="Contractor",D69*BillableDays,D69)</f>
        <v>16500</v>
      </c>
      <c r="H69" s="57">
        <f>IF(C69="Contractor",E69*BillableDays*(1+RateChange),E69)</f>
        <v>16500</v>
      </c>
      <c r="I69" s="6" t="n"/>
      <c r="J69" s="14" t="inlineStr">
        <is>
          <t>Loaded monthly cost from HR</t>
        </is>
      </c>
      <c r="K69" s="6" t="n"/>
      <c r="L69" s="6" t="n"/>
      <c r="M69" s="6" t="n"/>
      <c r="N69" s="6" t="n"/>
    </row>
    <row r="71" ht="22" customHeight="1">
      <c r="B71" s="39" t="inlineStr">
        <is>
          <t>6  Staffing</t>
        </is>
      </c>
      <c r="C71" s="40" t="n"/>
      <c r="D71" s="40" t="n"/>
      <c r="E71" s="40" t="n"/>
      <c r="F71" s="40" t="n"/>
      <c r="G71" s="40" t="n"/>
      <c r="H71" s="40" t="n"/>
      <c r="I71" s="40" t="n"/>
      <c r="J71" s="40" t="n"/>
      <c r="K71" s="40" t="n"/>
      <c r="L71" s="40" t="n"/>
      <c r="M71" s="40" t="n"/>
      <c r="N71" s="40" t="n"/>
    </row>
    <row r="72">
      <c r="B72" s="41" t="inlineStr">
        <is>
          <t>Full-time equivalents (FTE) per month in each phase; 0.5 = half of one person's time. Baseline: the approved plan. Current: the engineering lead's staffing plan.</t>
        </is>
      </c>
    </row>
    <row r="73">
      <c r="C73" s="98" t="inlineStr">
        <is>
          <t>Baseline</t>
        </is>
      </c>
      <c r="D73" s="99" t="n"/>
      <c r="E73" s="99" t="n"/>
      <c r="F73" s="99" t="n"/>
      <c r="G73" s="99" t="n"/>
      <c r="I73" s="98" t="inlineStr">
        <is>
          <t>Current</t>
        </is>
      </c>
      <c r="J73" s="99" t="n"/>
      <c r="K73" s="99" t="n"/>
      <c r="L73" s="99" t="n"/>
      <c r="M73" s="99" t="n"/>
    </row>
    <row r="74" ht="20" customHeight="1">
      <c r="B74" s="53" t="inlineStr">
        <is>
          <t>Role</t>
        </is>
      </c>
      <c r="C74" s="54" t="inlineStr">
        <is>
          <t>Discovery</t>
        </is>
      </c>
      <c r="D74" s="54" t="inlineStr">
        <is>
          <t>Design</t>
        </is>
      </c>
      <c r="E74" s="54" t="inlineStr">
        <is>
          <t>Build</t>
        </is>
      </c>
      <c r="F74" s="54" t="inlineStr">
        <is>
          <t>Launch prep</t>
        </is>
      </c>
      <c r="G74" s="54" t="inlineStr">
        <is>
          <t>Hypercare</t>
        </is>
      </c>
      <c r="H74" s="55" t="n"/>
      <c r="I74" s="54" t="inlineStr">
        <is>
          <t>Discovery</t>
        </is>
      </c>
      <c r="J74" s="54" t="inlineStr">
        <is>
          <t>Design</t>
        </is>
      </c>
      <c r="K74" s="54" t="inlineStr">
        <is>
          <t>Build</t>
        </is>
      </c>
      <c r="L74" s="54" t="inlineStr">
        <is>
          <t>Launch prep</t>
        </is>
      </c>
      <c r="M74" s="54" t="inlineStr">
        <is>
          <t>Hypercare</t>
        </is>
      </c>
    </row>
    <row r="75">
      <c r="B75" s="13" t="str">
        <f>Inputs!$B$41</f>
        <v>Product management</v>
      </c>
      <c r="C75" s="100" t="n">
        <v>1</v>
      </c>
      <c r="D75" s="100" t="n">
        <v>1</v>
      </c>
      <c r="E75" s="100" t="n">
        <v>1</v>
      </c>
      <c r="F75" s="100" t="n">
        <v>1</v>
      </c>
      <c r="G75" s="100" t="n">
        <v>0.5</v>
      </c>
      <c r="I75" s="100" t="n">
        <v>1</v>
      </c>
      <c r="J75" s="100" t="n">
        <v>1</v>
      </c>
      <c r="K75" s="100" t="n">
        <v>1</v>
      </c>
      <c r="L75" s="100" t="n">
        <v>1</v>
      </c>
      <c r="M75" s="100" t="n">
        <v>0.5</v>
      </c>
    </row>
    <row r="76">
      <c r="B76" s="13" t="str">
        <f>Inputs!$B$42</f>
        <v>Product design</v>
      </c>
      <c r="C76" s="100" t="n">
        <v>1</v>
      </c>
      <c r="D76" s="100" t="n">
        <v>2</v>
      </c>
      <c r="E76" s="100" t="n">
        <v>1</v>
      </c>
      <c r="F76" s="100" t="n">
        <v>0.5</v>
      </c>
      <c r="G76" s="100" t="n">
        <v>0.25</v>
      </c>
      <c r="I76" s="100" t="n">
        <v>1</v>
      </c>
      <c r="J76" s="100" t="n">
        <v>2</v>
      </c>
      <c r="K76" s="100" t="n">
        <v>0.75</v>
      </c>
      <c r="L76" s="100" t="n">
        <v>0.5</v>
      </c>
      <c r="M76" s="100" t="n">
        <v>0.25</v>
      </c>
    </row>
    <row r="77">
      <c r="B77" s="13" t="str">
        <f>Inputs!$B$43</f>
        <v>iOS development</v>
      </c>
      <c r="C77" s="100" t="n">
        <v>0</v>
      </c>
      <c r="D77" s="100" t="n">
        <v>0.5</v>
      </c>
      <c r="E77" s="100" t="n">
        <v>2</v>
      </c>
      <c r="F77" s="100" t="n">
        <v>2</v>
      </c>
      <c r="G77" s="100" t="n">
        <v>0.5</v>
      </c>
      <c r="I77" s="100" t="n">
        <v>0</v>
      </c>
      <c r="J77" s="100" t="n">
        <v>0.5</v>
      </c>
      <c r="K77" s="100" t="n">
        <v>2</v>
      </c>
      <c r="L77" s="100" t="n">
        <v>2</v>
      </c>
      <c r="M77" s="100" t="n">
        <v>0.5</v>
      </c>
    </row>
    <row r="78">
      <c r="B78" s="13" t="str">
        <f>Inputs!$B$44</f>
        <v>Android development</v>
      </c>
      <c r="C78" s="100" t="n">
        <v>0</v>
      </c>
      <c r="D78" s="100" t="n">
        <v>0.5</v>
      </c>
      <c r="E78" s="100" t="n">
        <v>2</v>
      </c>
      <c r="F78" s="100" t="n">
        <v>2</v>
      </c>
      <c r="G78" s="100" t="n">
        <v>0.5</v>
      </c>
      <c r="I78" s="100" t="n">
        <v>0</v>
      </c>
      <c r="J78" s="100" t="n">
        <v>0.5</v>
      </c>
      <c r="K78" s="100" t="n">
        <v>2.5</v>
      </c>
      <c r="L78" s="100" t="n">
        <v>2.5</v>
      </c>
      <c r="M78" s="100" t="n">
        <v>0.5</v>
      </c>
    </row>
    <row r="79">
      <c r="B79" s="13" t="str">
        <f>Inputs!$B$45</f>
        <v>Backend &amp; integrations</v>
      </c>
      <c r="C79" s="100" t="n">
        <v>0.5</v>
      </c>
      <c r="D79" s="100" t="n">
        <v>1</v>
      </c>
      <c r="E79" s="100" t="n">
        <v>3</v>
      </c>
      <c r="F79" s="100" t="n">
        <v>2</v>
      </c>
      <c r="G79" s="100" t="n">
        <v>1</v>
      </c>
      <c r="I79" s="100" t="n">
        <v>0.5</v>
      </c>
      <c r="J79" s="100" t="n">
        <v>1</v>
      </c>
      <c r="K79" s="100" t="n">
        <v>3</v>
      </c>
      <c r="L79" s="100" t="n">
        <v>2</v>
      </c>
      <c r="M79" s="100" t="n">
        <v>1</v>
      </c>
    </row>
    <row r="80">
      <c r="B80" s="13" t="str">
        <f>Inputs!$B$46</f>
        <v>Quality assurance</v>
      </c>
      <c r="C80" s="100" t="n">
        <v>0</v>
      </c>
      <c r="D80" s="100" t="n">
        <v>0</v>
      </c>
      <c r="E80" s="100" t="n">
        <v>1.5</v>
      </c>
      <c r="F80" s="100" t="n">
        <v>2</v>
      </c>
      <c r="G80" s="100" t="n">
        <v>0.5</v>
      </c>
      <c r="I80" s="100" t="n">
        <v>0</v>
      </c>
      <c r="J80" s="100" t="n">
        <v>0</v>
      </c>
      <c r="K80" s="100" t="n">
        <v>2</v>
      </c>
      <c r="L80" s="100" t="n">
        <v>2</v>
      </c>
      <c r="M80" s="100" t="n">
        <v>0.5</v>
      </c>
    </row>
    <row r="81">
      <c r="B81" s="13" t="str">
        <f>Inputs!$B$47</f>
        <v>Cloud &amp; DevOps</v>
      </c>
      <c r="C81" s="100" t="n">
        <v>0.25</v>
      </c>
      <c r="D81" s="100" t="n">
        <v>0.25</v>
      </c>
      <c r="E81" s="100" t="n">
        <v>0.5</v>
      </c>
      <c r="F81" s="100" t="n">
        <v>1</v>
      </c>
      <c r="G81" s="100" t="n">
        <v>0.5</v>
      </c>
      <c r="I81" s="100" t="n">
        <v>0.25</v>
      </c>
      <c r="J81" s="100" t="n">
        <v>0.25</v>
      </c>
      <c r="K81" s="100" t="n">
        <v>0.5</v>
      </c>
      <c r="L81" s="100" t="n">
        <v>1</v>
      </c>
      <c r="M81" s="100" t="n">
        <v>0.5</v>
      </c>
    </row>
    <row r="82">
      <c r="B82" s="13" t="str">
        <f>Inputs!$B$48</f>
        <v>Engineering lead</v>
      </c>
      <c r="C82" s="100" t="n">
        <v>0.5</v>
      </c>
      <c r="D82" s="100" t="n">
        <v>1</v>
      </c>
      <c r="E82" s="100" t="n">
        <v>1</v>
      </c>
      <c r="F82" s="100" t="n">
        <v>1</v>
      </c>
      <c r="G82" s="100" t="n">
        <v>0.5</v>
      </c>
      <c r="I82" s="100" t="n">
        <v>0.5</v>
      </c>
      <c r="J82" s="100" t="n">
        <v>1</v>
      </c>
      <c r="K82" s="100" t="n">
        <v>1</v>
      </c>
      <c r="L82" s="100" t="n">
        <v>1</v>
      </c>
      <c r="M82" s="100" t="n">
        <v>0.5</v>
      </c>
    </row>
    <row r="83">
      <c r="B83" s="60" t="inlineStr">
        <is>
          <t>Team size</t>
        </is>
      </c>
      <c r="C83" s="101">
        <f>SUM(C75:C82)</f>
        <v>3.25</v>
      </c>
      <c r="D83" s="101">
        <f>SUM(D75:D82)</f>
        <v>6.25</v>
      </c>
      <c r="E83" s="101">
        <f>SUM(E75:E82)</f>
        <v>12</v>
      </c>
      <c r="F83" s="101">
        <f>SUM(F75:F82)</f>
        <v>11.5</v>
      </c>
      <c r="G83" s="101">
        <f>SUM(G75:G82)</f>
        <v>4.25</v>
      </c>
      <c r="I83" s="101">
        <f>SUM(I75:I82)</f>
        <v>3.25</v>
      </c>
      <c r="J83" s="101">
        <f>SUM(J75:J82)</f>
        <v>6.25</v>
      </c>
      <c r="K83" s="101">
        <f>SUM(K75:K82)</f>
        <v>12.75</v>
      </c>
      <c r="L83" s="101">
        <f>SUM(L75:L82)</f>
        <v>12</v>
      </c>
      <c r="M83" s="101">
        <f>SUM(M75:M82)</f>
        <v>4.25</v>
      </c>
    </row>
    <row r="85" ht="22" customHeight="1">
      <c r="B85" s="39" t="inlineStr">
        <is>
          <t>7  Platform &amp; tools</t>
        </is>
      </c>
      <c r="C85" s="40" t="n"/>
      <c r="D85" s="40" t="n"/>
      <c r="E85" s="40" t="n"/>
      <c r="F85" s="40" t="n"/>
      <c r="G85" s="40" t="n"/>
      <c r="H85" s="40" t="n"/>
      <c r="I85" s="40" t="n"/>
      <c r="J85" s="40" t="n"/>
      <c r="K85" s="40" t="n"/>
      <c r="L85" s="40" t="n"/>
      <c r="M85" s="40" t="n"/>
      <c r="N85" s="40" t="n"/>
    </row>
    <row r="86">
      <c r="B86" s="41" t="inlineStr">
        <is>
          <t>Monthly cost in each phase, from the providers' price lists and current invoices. Production hosting grows after launch.</t>
        </is>
      </c>
    </row>
    <row r="87">
      <c r="C87" s="98" t="inlineStr">
        <is>
          <t>Baseline</t>
        </is>
      </c>
      <c r="D87" s="99" t="n"/>
      <c r="E87" s="99" t="n"/>
      <c r="F87" s="99" t="n"/>
      <c r="G87" s="99" t="n"/>
      <c r="I87" s="98" t="inlineStr">
        <is>
          <t>Current</t>
        </is>
      </c>
      <c r="J87" s="99" t="n"/>
      <c r="K87" s="99" t="n"/>
      <c r="L87" s="99" t="n"/>
      <c r="M87" s="99" t="n"/>
    </row>
    <row r="88" ht="20" customHeight="1">
      <c r="B88" s="53" t="inlineStr">
        <is>
          <t>Cost line (per month)</t>
        </is>
      </c>
      <c r="C88" s="54" t="inlineStr">
        <is>
          <t>Discovery</t>
        </is>
      </c>
      <c r="D88" s="54" t="inlineStr">
        <is>
          <t>Design</t>
        </is>
      </c>
      <c r="E88" s="54" t="inlineStr">
        <is>
          <t>Build</t>
        </is>
      </c>
      <c r="F88" s="54" t="inlineStr">
        <is>
          <t>Launch prep</t>
        </is>
      </c>
      <c r="G88" s="54" t="inlineStr">
        <is>
          <t>Hypercare</t>
        </is>
      </c>
      <c r="H88" s="55" t="n"/>
      <c r="I88" s="54" t="inlineStr">
        <is>
          <t>Discovery</t>
        </is>
      </c>
      <c r="J88" s="54" t="inlineStr">
        <is>
          <t>Design</t>
        </is>
      </c>
      <c r="K88" s="54" t="inlineStr">
        <is>
          <t>Build</t>
        </is>
      </c>
      <c r="L88" s="54" t="inlineStr">
        <is>
          <t>Launch prep</t>
        </is>
      </c>
      <c r="M88" s="54" t="inlineStr">
        <is>
          <t>Hypercare</t>
        </is>
      </c>
    </row>
    <row r="89">
      <c r="B89" s="13" t="str">
        <f>Inputs!$B$54</f>
        <v>Cloud hosting</v>
      </c>
      <c r="C89" s="82" t="n">
        <v>400</v>
      </c>
      <c r="D89" s="82" t="n">
        <v>1200</v>
      </c>
      <c r="E89" s="82" t="n">
        <v>5500</v>
      </c>
      <c r="F89" s="82" t="n">
        <v>8000</v>
      </c>
      <c r="G89" s="82" t="n">
        <v>12000</v>
      </c>
      <c r="I89" s="82" t="n">
        <v>400</v>
      </c>
      <c r="J89" s="82" t="n">
        <v>1200</v>
      </c>
      <c r="K89" s="82" t="n">
        <v>7200</v>
      </c>
      <c r="L89" s="82" t="n">
        <v>9000</v>
      </c>
      <c r="M89" s="82" t="n">
        <v>12500</v>
      </c>
    </row>
    <row r="90">
      <c r="B90" s="13" t="str">
        <f>Inputs!$B$55</f>
        <v>Software &amp; tools</v>
      </c>
      <c r="C90" s="82" t="n">
        <v>1800</v>
      </c>
      <c r="D90" s="82" t="n">
        <v>3200</v>
      </c>
      <c r="E90" s="82" t="n">
        <v>5400</v>
      </c>
      <c r="F90" s="82" t="n">
        <v>5400</v>
      </c>
      <c r="G90" s="82" t="n">
        <v>4000</v>
      </c>
      <c r="I90" s="82" t="n">
        <v>1800</v>
      </c>
      <c r="J90" s="82" t="n">
        <v>3200</v>
      </c>
      <c r="K90" s="82" t="n">
        <v>5100</v>
      </c>
      <c r="L90" s="82" t="n">
        <v>5100</v>
      </c>
      <c r="M90" s="82" t="n">
        <v>4000</v>
      </c>
    </row>
    <row r="91">
      <c r="B91" s="13" t="str">
        <f>Inputs!$B$56</f>
        <v>Third-party services</v>
      </c>
      <c r="C91" s="82" t="n">
        <v>0</v>
      </c>
      <c r="D91" s="82" t="n">
        <v>300</v>
      </c>
      <c r="E91" s="82" t="n">
        <v>1800</v>
      </c>
      <c r="F91" s="82" t="n">
        <v>2600</v>
      </c>
      <c r="G91" s="82" t="n">
        <v>3500</v>
      </c>
      <c r="I91" s="82" t="n">
        <v>0</v>
      </c>
      <c r="J91" s="82" t="n">
        <v>300</v>
      </c>
      <c r="K91" s="82" t="n">
        <v>1800</v>
      </c>
      <c r="L91" s="82" t="n">
        <v>2600</v>
      </c>
      <c r="M91" s="82" t="n">
        <v>3500</v>
      </c>
    </row>
    <row r="92">
      <c r="B92" s="60" t="inlineStr">
        <is>
          <t>Per month</t>
        </is>
      </c>
      <c r="C92" s="102">
        <f>SUM(C89:C91)</f>
        <v>2200</v>
      </c>
      <c r="D92" s="102">
        <f>SUM(D89:D91)</f>
        <v>4700</v>
      </c>
      <c r="E92" s="102">
        <f>SUM(E89:E91)</f>
        <v>12700</v>
      </c>
      <c r="F92" s="102">
        <f>SUM(F89:F91)</f>
        <v>16000</v>
      </c>
      <c r="G92" s="102">
        <f>SUM(G89:G91)</f>
        <v>19500</v>
      </c>
      <c r="I92" s="102">
        <f>SUM(I89:I91)</f>
        <v>2200</v>
      </c>
      <c r="J92" s="102">
        <f>SUM(J89:J91)</f>
        <v>4700</v>
      </c>
      <c r="K92" s="102">
        <f>SUM(K89:K91)</f>
        <v>14100</v>
      </c>
      <c r="L92" s="102">
        <f>SUM(L89:L91)</f>
        <v>16700</v>
      </c>
      <c r="M92" s="102">
        <f>SUM(M89:M91)</f>
        <v>20000</v>
      </c>
    </row>
    <row r="94" ht="22" customHeight="1">
      <c r="B94" s="39" t="inlineStr">
        <is>
          <t>8  Progress</t>
        </is>
      </c>
      <c r="C94" s="40" t="n"/>
      <c r="D94" s="40" t="n"/>
      <c r="E94" s="40" t="n"/>
      <c r="F94" s="40" t="n"/>
      <c r="G94" s="40" t="n"/>
      <c r="H94" s="40" t="n"/>
      <c r="I94" s="40" t="n"/>
      <c r="J94" s="40" t="n"/>
      <c r="K94" s="40" t="n"/>
      <c r="L94" s="40" t="n"/>
      <c r="M94" s="40" t="n"/>
      <c r="N94" s="40" t="n"/>
    </row>
    <row r="95">
      <c r="B95" s="41" t="inlineStr">
        <is>
          <t>How much of each phase's work is done at the status date: the engineering lead's estimate. Feeds the earned-value check on Report.</t>
        </is>
      </c>
    </row>
    <row r="96" ht="20" customHeight="1">
      <c r="B96" s="53" t="inlineStr">
        <is>
          <t>Phase</t>
        </is>
      </c>
      <c r="C96" s="54" t="inlineStr">
        <is>
          <t>Work done</t>
        </is>
      </c>
    </row>
    <row r="97">
      <c r="B97" s="13" t="str">
        <f>INDEX(PhaseNames,1)</f>
        <v>Discovery</v>
      </c>
      <c r="C97" s="103" t="n">
        <v>1</v>
      </c>
      <c r="D97" s="6" t="n"/>
      <c r="E97" s="14" t="inlineStr">
        <is>
          <t>Done</t>
        </is>
      </c>
      <c r="F97" s="6" t="n"/>
      <c r="G97" s="6" t="n"/>
      <c r="H97" s="6" t="n"/>
      <c r="I97" s="6" t="n"/>
      <c r="J97" s="6" t="n"/>
      <c r="K97" s="6" t="n"/>
      <c r="L97" s="6" t="n"/>
      <c r="M97" s="6" t="n"/>
      <c r="N97" s="6" t="n"/>
    </row>
    <row r="98">
      <c r="B98" s="13" t="str">
        <f>INDEX(PhaseNames,2)</f>
        <v>Design</v>
      </c>
      <c r="C98" s="103" t="n">
        <v>1</v>
      </c>
      <c r="D98" s="6" t="n"/>
      <c r="E98" s="14" t="inlineStr">
        <is>
          <t>Done</t>
        </is>
      </c>
      <c r="F98" s="6" t="n"/>
      <c r="G98" s="6" t="n"/>
      <c r="H98" s="6" t="n"/>
      <c r="I98" s="6" t="n"/>
      <c r="J98" s="6" t="n"/>
      <c r="K98" s="6" t="n"/>
      <c r="L98" s="6" t="n"/>
      <c r="M98" s="6" t="n"/>
      <c r="N98" s="6" t="n"/>
    </row>
    <row r="99">
      <c r="B99" s="13" t="str">
        <f>INDEX(PhaseNames,3)</f>
        <v>Build</v>
      </c>
      <c r="C99" s="103" t="n">
        <v>0.5</v>
      </c>
      <c r="D99" s="6" t="n"/>
      <c r="E99" s="14" t="inlineStr">
        <is>
          <t>Ordering and rewards done, payments and POS integration under way</t>
        </is>
      </c>
      <c r="F99" s="6" t="n"/>
      <c r="G99" s="6" t="n"/>
      <c r="H99" s="6" t="n"/>
      <c r="I99" s="6" t="n"/>
      <c r="J99" s="6" t="n"/>
      <c r="K99" s="6" t="n"/>
      <c r="L99" s="6" t="n"/>
      <c r="M99" s="6" t="n"/>
      <c r="N99" s="6" t="n"/>
    </row>
    <row r="100">
      <c r="B100" s="13" t="str">
        <f>INDEX(PhaseNames,4)</f>
        <v>Launch prep</v>
      </c>
      <c r="C100" s="103" t="n">
        <v>0</v>
      </c>
      <c r="D100" s="6" t="n"/>
      <c r="E100" s="14" t="inlineStr">
        <is>
          <t>Not started</t>
        </is>
      </c>
      <c r="F100" s="6" t="n"/>
      <c r="G100" s="6" t="n"/>
      <c r="H100" s="6" t="n"/>
      <c r="I100" s="6" t="n"/>
      <c r="J100" s="6" t="n"/>
      <c r="K100" s="6" t="n"/>
      <c r="L100" s="6" t="n"/>
      <c r="M100" s="6" t="n"/>
      <c r="N100" s="6" t="n"/>
    </row>
    <row r="101">
      <c r="B101" s="13" t="str">
        <f>INDEX(PhaseNames,5)</f>
        <v>Hypercare</v>
      </c>
      <c r="C101" s="103" t="n">
        <v>0</v>
      </c>
      <c r="D101" s="6" t="n"/>
      <c r="E101" s="14" t="inlineStr">
        <is>
          <t>Not started</t>
        </is>
      </c>
      <c r="F101" s="6" t="n"/>
      <c r="G101" s="6" t="n"/>
      <c r="H101" s="6" t="n"/>
      <c r="I101" s="6" t="n"/>
      <c r="J101" s="6" t="n"/>
      <c r="K101" s="6" t="n"/>
      <c r="L101" s="6" t="n"/>
      <c r="M101" s="6" t="n"/>
      <c r="N101" s="6" t="n"/>
    </row>
  </sheetData>
  <sheetProtection selectLockedCells="0" selectUnlockedCells="0" sheet="1" objects="0" insertRows="1" insertHyperlinks="1" autoFilter="1" scenarios="0" formatColumns="0" deleteColumns="1" insertColumns="1" pivotTables="1" deleteRows="1" formatCells="1" formatRows="0" sort="1"/>
  <mergeCells count="3">
    <mergeCell ref="C7:E7"/>
    <mergeCell ref="C9:E9"/>
    <mergeCell ref="C8:E8"/>
  </mergeCells>
  <conditionalFormatting sqref="C23">
    <cfRule type="expression" priority="1" dxfId="2" stopIfTrue="0">
      <formula>$C$23&lt;&gt;"Current forecast"</formula>
    </cfRule>
  </conditionalFormatting>
  <conditionalFormatting sqref="D29:D33">
    <cfRule type="expression" priority="2" dxfId="9" stopIfTrue="0">
      <formula>D29&lt;&gt;C29</formula>
    </cfRule>
  </conditionalFormatting>
  <conditionalFormatting sqref="E29:E33">
    <cfRule type="expression" priority="3" dxfId="9" stopIfTrue="0">
      <formula>E29&lt;&gt;0</formula>
    </cfRule>
  </conditionalFormatting>
  <conditionalFormatting sqref="E62:E69">
    <cfRule type="expression" priority="4" dxfId="9" stopIfTrue="0">
      <formula>E62&lt;&gt;D62</formula>
    </cfRule>
  </conditionalFormatting>
  <conditionalFormatting sqref="I75:M82">
    <cfRule type="expression" priority="5" dxfId="9" stopIfTrue="0">
      <formula>I75&lt;&gt;C75</formula>
    </cfRule>
  </conditionalFormatting>
  <conditionalFormatting sqref="I89:M91">
    <cfRule type="expression" priority="6" dxfId="9" stopIfTrue="0">
      <formula>I89&lt;&gt;C89</formula>
    </cfRule>
  </conditionalFormatting>
  <dataValidations count="13">
    <dataValidation sqref="C11" showDropDown="0" showInputMessage="1" showErrorMessage="0" allowBlank="0" promptTitle="Actuals through" prompt="Pick the last month finance has closed. Everything up to it uses actuals." type="list">
      <formula1>=Calc!$F$5:$T$5</formula1>
    </dataValidation>
    <dataValidation sqref="C12" showDropDown="0" showInputMessage="1" showErrorMessage="1" allowBlank="0" errorTitle="Not a valid input" error="Please enter a number in the allowed range." promptTitle="Billable days" prompt="Between 10 and 23 days." type="whole" operator="between">
      <formula1>10</formula1>
      <formula2>23</formula2>
    </dataValidation>
    <dataValidation sqref="C13" showDropDown="0" showInputMessage="0" showErrorMessage="1" allowBlank="0" errorTitle="Not a valid input" error="Please enter a number of 0 or more." type="decimal" operator="greaterThanOrEqual">
      <formula1>0</formula1>
    </dataValidation>
    <dataValidation sqref="C15" showDropDown="0" showInputMessage="0" showErrorMessage="1" allowBlank="0" errorTitle="Not a valid input" error="Please enter a number in the allowed range." type="decimal" operator="between">
      <formula1>0</formula1>
      <formula2>1</formula2>
    </dataValidation>
    <dataValidation sqref="C20" showDropDown="0" showInputMessage="1" showErrorMessage="0" allowBlank="0" promptTitle="Pending changes" prompt="Yes adds pending change requests to the forecast." type="list">
      <formula1>"Yes,No"</formula1>
    </dataValidation>
    <dataValidation sqref="C21" showDropDown="0" showInputMessage="1" showErrorMessage="1" allowBlank="0" errorTitle="Not a valid input" error="Please enter a number in the allowed range." promptTitle="Rate change" prompt="Between -50% and +50%." type="decimal" operator="between">
      <formula1>-0.5</formula1>
      <formula2>0.5</formula2>
    </dataValidation>
    <dataValidation sqref="C29:E33" showDropDown="0" showInputMessage="1" showErrorMessage="1" allowBlank="0" errorTitle="Not a valid input" error="Please enter a number in the allowed range." promptTitle="Months" prompt="Whole months, 0 to 12." type="whole" operator="between">
      <formula1>0</formula1>
      <formula2>12</formula2>
    </dataValidation>
    <dataValidation sqref="C41:C57" showDropDown="0" showInputMessage="1" showErrorMessage="0" allowBlank="0" promptTitle="Group" prompt="Which group the line reports under." type="list">
      <formula1>"Team,Purchases,Platform,Changes"</formula1>
    </dataValidation>
    <dataValidation sqref="C62:C69" showDropDown="0" showInputMessage="1" showErrorMessage="0" allowBlank="0" promptTitle="Sourcing" prompt="Internal: monthly cost. Contractor: day rate." type="list">
      <formula1>"Internal,Contractor"</formula1>
    </dataValidation>
    <dataValidation sqref="D62:E69" showDropDown="0" showInputMessage="0" showErrorMessage="1" allowBlank="0" errorTitle="Not a valid input" error="Please enter a number of 0 or more." type="decimal" operator="greaterThanOrEqual">
      <formula1>0</formula1>
    </dataValidation>
    <dataValidation sqref="C75:G82 I75:M82" showDropDown="0" showInputMessage="1" showErrorMessage="1" allowBlank="0" errorTitle="Not a valid input" error="Please enter a number of 0 or more." promptTitle="FTE" prompt="0 or more. 1 = one person full time." type="decimal" operator="greaterThanOrEqual">
      <formula1>0</formula1>
    </dataValidation>
    <dataValidation sqref="C89:G91 I89:M91" showDropDown="0" showInputMessage="0" showErrorMessage="1" allowBlank="0" errorTitle="Not a valid input" error="Please enter a number of 0 or more." type="decimal" operator="greaterThanOrEqual">
      <formula1>0</formula1>
    </dataValidation>
    <dataValidation sqref="C97:C101" showDropDown="0" showInputMessage="1" showErrorMessage="1" allowBlank="0" errorTitle="Not a valid input" error="Please enter a number in the allowed range." promptTitle="Work done" prompt="Between 0% and 100%." type="decimal" operator="between">
      <formula1>0</formula1>
      <formula2>1</formula2>
    </dataValidation>
  </dataValidations>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6.xml><?xml version="1.0" encoding="utf-8"?>
<worksheet xmlns="http://schemas.openxmlformats.org/spreadsheetml/2006/main">
  <sheetPr>
    <tabColor rgb="00D9A400"/>
    <outlinePr summaryBelow="1" summaryRight="1"/>
    <pageSetUpPr fitToPage="1"/>
  </sheetPr>
  <dimension ref="B2:N31"/>
  <sheetViews>
    <sheetView showGridLines="0" zoomScale="100" workbookViewId="0">
      <pane xSplit="2" ySplit="6" topLeftCell="C7" activePane="bottomRight" state="frozen"/>
      <selection pane="topRight" activeCell="A1" sqref="A1"/>
      <selection pane="bottomLeft"/>
      <selection pane="bottomRight" activeCell="A1" sqref="A1"/>
    </sheetView>
  </sheetViews>
  <sheetFormatPr baseColWidth="8" defaultRowHeight="15" customHeight="1"/>
  <cols>
    <col width="2.5" customWidth="1" min="1" max="1"/>
    <col width="48" customWidth="1" min="2" max="2"/>
    <col width="18" customWidth="1" min="3" max="3"/>
    <col width="24" customWidth="1" min="4" max="4"/>
    <col width="12" customWidth="1" min="5" max="5"/>
    <col width="9" customWidth="1" min="6" max="6"/>
    <col width="12" customWidth="1" min="7" max="7"/>
    <col width="12" customWidth="1" min="8" max="8"/>
    <col width="11" customWidth="1" min="9" max="9"/>
    <col width="11" customWidth="1" min="10" max="10"/>
    <col width="11" customWidth="1" min="11" max="11"/>
    <col width="11" customWidth="1" min="12" max="12"/>
    <col width="2.5" customWidth="1" min="13" max="13"/>
  </cols>
  <sheetData>
    <row r="1" ht="10" customHeight="1"/>
    <row r="2" ht="30" customHeight="1">
      <c r="B2" s="49" t="inlineStr">
        <is>
          <t>Purchases</t>
        </is>
      </c>
    </row>
    <row r="3" ht="18" customHeight="1">
      <c r="B3" s="24" t="inlineStr">
        <is>
          <t>One-off purchases and change requests. Timed by phase, so they move when the schedule moves. Paid items are in the actuals; the forecast counts the rest.</t>
        </is>
      </c>
    </row>
    <row r="5" ht="22" customHeight="1">
      <c r="B5" s="39" t="inlineStr">
        <is>
          <t>1  Purchases</t>
        </is>
      </c>
      <c r="C5" s="40" t="n"/>
      <c r="D5" s="40" t="n"/>
      <c r="E5" s="40" t="n"/>
      <c r="F5" s="40" t="n"/>
      <c r="G5" s="40" t="n"/>
      <c r="H5" s="40" t="n"/>
      <c r="I5" s="40" t="n"/>
      <c r="J5" s="40" t="n"/>
      <c r="K5" s="40" t="n"/>
      <c r="L5" s="40" t="n"/>
    </row>
    <row r="6" ht="32" customHeight="1">
      <c r="B6" s="53" t="inlineStr">
        <is>
          <t>Item</t>
        </is>
      </c>
      <c r="C6" s="53" t="inlineStr">
        <is>
          <t>Supplier</t>
        </is>
      </c>
      <c r="D6" s="53" t="inlineStr">
        <is>
          <t>Cost line</t>
        </is>
      </c>
      <c r="E6" s="53" t="inlineStr">
        <is>
          <t>Phase</t>
        </is>
      </c>
      <c r="F6" s="54" t="inlineStr">
        <is>
          <t>Month of phase</t>
        </is>
      </c>
      <c r="G6" s="54" t="inlineStr">
        <is>
          <t>Baseline</t>
        </is>
      </c>
      <c r="H6" s="54" t="inlineStr">
        <is>
          <t>Forecast</t>
        </is>
      </c>
      <c r="I6" s="53" t="inlineStr">
        <is>
          <t>Status</t>
        </is>
      </c>
      <c r="J6" s="54" t="inlineStr">
        <is>
          <t>Baseline month</t>
        </is>
      </c>
      <c r="K6" s="54" t="inlineStr">
        <is>
          <t>Forecast month</t>
        </is>
      </c>
      <c r="L6" s="104" t="inlineStr">
        <is>
          <t>Fits phase</t>
        </is>
      </c>
    </row>
    <row r="7">
      <c r="B7" s="96" t="inlineStr">
        <is>
          <t>Discovery interviews and usability tests, round 1</t>
        </is>
      </c>
      <c r="C7" s="96" t="inlineStr">
        <is>
          <t>Fieldnote Research</t>
        </is>
      </c>
      <c r="D7" s="96" t="inlineStr">
        <is>
          <t>User research &amp; testing</t>
        </is>
      </c>
      <c r="E7" s="96" t="inlineStr">
        <is>
          <t>Design</t>
        </is>
      </c>
      <c r="F7" s="81" t="n">
        <v>1</v>
      </c>
      <c r="G7" s="82" t="n">
        <v>24000</v>
      </c>
      <c r="H7" s="82" t="n">
        <v>24000</v>
      </c>
      <c r="I7" s="96" t="inlineStr">
        <is>
          <t>Paid</t>
        </is>
      </c>
      <c r="J7" s="89">
        <f>IF(E7="","",EDATE(StartMonth,INDEX(BaseStarts,MATCH(E7,PhaseNames,0))+F7-2))</f>
        <v>46143</v>
      </c>
      <c r="K7" s="89">
        <f>IF(E7="","",EDATE(StartMonth,INDEX(FcStarts,MATCH(E7,PhaseNames,0))+F7-2))</f>
        <v>46143</v>
      </c>
      <c r="L7" s="56" t="str">
        <f>IF(E7="","",IF(F7&lt;=INDEX(FcMonths,MATCH(E7,PhaseNames,0)),"Yes","No"))</f>
        <v>Yes</v>
      </c>
      <c r="N7" s="27" t="inlineStr">
        <is>
          <t>Invoice paid in May</t>
        </is>
      </c>
    </row>
    <row r="8">
      <c r="B8" s="96" t="inlineStr">
        <is>
          <t>Device lab: 24 phones and tablets</t>
        </is>
      </c>
      <c r="C8" s="96" t="inlineStr">
        <is>
          <t>Gadget Depot</t>
        </is>
      </c>
      <c r="D8" s="96" t="inlineStr">
        <is>
          <t>Test devices</t>
        </is>
      </c>
      <c r="E8" s="96" t="inlineStr">
        <is>
          <t>Build</t>
        </is>
      </c>
      <c r="F8" s="81" t="n">
        <v>1</v>
      </c>
      <c r="G8" s="82" t="n">
        <v>16000</v>
      </c>
      <c r="H8" s="82" t="n">
        <v>17240</v>
      </c>
      <c r="I8" s="96" t="inlineStr">
        <is>
          <t>Paid</t>
        </is>
      </c>
      <c r="J8" s="89">
        <f>IF(E8="","",EDATE(StartMonth,INDEX(BaseStarts,MATCH(E8,PhaseNames,0))+F8-2))</f>
        <v>46204</v>
      </c>
      <c r="K8" s="89">
        <f>IF(E8="","",EDATE(StartMonth,INDEX(FcStarts,MATCH(E8,PhaseNames,0))+F8-2))</f>
        <v>46204</v>
      </c>
      <c r="L8" s="56" t="str">
        <f>IF(E8="","",IF(F8&lt;=INDEX(FcMonths,MATCH(E8,PhaseNames,0)),"Yes","No"))</f>
        <v>Yes</v>
      </c>
      <c r="N8" s="27" t="inlineStr">
        <is>
          <t>Two extra older Android phones</t>
        </is>
      </c>
    </row>
    <row r="9">
      <c r="B9" s="96" t="inlineStr">
        <is>
          <t>Card-payment compliance review</t>
        </is>
      </c>
      <c r="C9" s="96" t="inlineStr">
        <is>
          <t>Payment provider</t>
        </is>
      </c>
      <c r="D9" s="96" t="inlineStr">
        <is>
          <t>Payment certification</t>
        </is>
      </c>
      <c r="E9" s="96" t="inlineStr">
        <is>
          <t>Build</t>
        </is>
      </c>
      <c r="F9" s="81" t="n">
        <v>3</v>
      </c>
      <c r="G9" s="82" t="n">
        <v>9500</v>
      </c>
      <c r="H9" s="82" t="n">
        <v>11200</v>
      </c>
      <c r="I9" s="96" t="inlineStr">
        <is>
          <t>Paid</t>
        </is>
      </c>
      <c r="J9" s="89">
        <f>IF(E9="","",EDATE(StartMonth,INDEX(BaseStarts,MATCH(E9,PhaseNames,0))+F9-2))</f>
        <v>46266</v>
      </c>
      <c r="K9" s="89">
        <f>IF(E9="","",EDATE(StartMonth,INDEX(FcStarts,MATCH(E9,PhaseNames,0))+F9-2))</f>
        <v>46266</v>
      </c>
      <c r="L9" s="56" t="str">
        <f>IF(E9="","",IF(F9&lt;=INDEX(FcMonths,MATCH(E9,PhaseNames,0)),"Yes","No"))</f>
        <v>Yes</v>
      </c>
      <c r="N9" s="27" t="inlineStr">
        <is>
          <t>Scope grew with wallet payments (CR-01)</t>
        </is>
      </c>
    </row>
    <row r="10">
      <c r="B10" s="96" t="inlineStr">
        <is>
          <t>Usability tests with beta users, round 2</t>
        </is>
      </c>
      <c r="C10" s="96" t="inlineStr">
        <is>
          <t>Fieldnote Research</t>
        </is>
      </c>
      <c r="D10" s="96" t="inlineStr">
        <is>
          <t>User research &amp; testing</t>
        </is>
      </c>
      <c r="E10" s="96" t="inlineStr">
        <is>
          <t>Launch prep</t>
        </is>
      </c>
      <c r="F10" s="81" t="n">
        <v>1</v>
      </c>
      <c r="G10" s="82" t="n">
        <v>18000</v>
      </c>
      <c r="H10" s="82" t="n">
        <v>18000</v>
      </c>
      <c r="I10" s="96" t="inlineStr">
        <is>
          <t>Committed</t>
        </is>
      </c>
      <c r="J10" s="89">
        <f>IF(E10="","",EDATE(StartMonth,INDEX(BaseStarts,MATCH(E10,PhaseNames,0))+F10-2))</f>
        <v>46357</v>
      </c>
      <c r="K10" s="89">
        <f>IF(E10="","",EDATE(StartMonth,INDEX(FcStarts,MATCH(E10,PhaseNames,0))+F10-2))</f>
        <v>46357</v>
      </c>
      <c r="L10" s="56" t="str">
        <f>IF(E10="","",IF(F10&lt;=INDEX(FcMonths,MATCH(E10,PhaseNames,0)),"Yes","No"))</f>
        <v>Yes</v>
      </c>
      <c r="N10" s="27" t="inlineStr">
        <is>
          <t>Purchase order raised</t>
        </is>
      </c>
    </row>
    <row r="11">
      <c r="B11" s="96" t="inlineStr">
        <is>
          <t>Penetration test</t>
        </is>
      </c>
      <c r="C11" s="96" t="inlineStr">
        <is>
          <t>Redwall Security</t>
        </is>
      </c>
      <c r="D11" s="96" t="inlineStr">
        <is>
          <t>Security &amp; accessibility</t>
        </is>
      </c>
      <c r="E11" s="96" t="inlineStr">
        <is>
          <t>Launch prep</t>
        </is>
      </c>
      <c r="F11" s="81" t="n">
        <v>1</v>
      </c>
      <c r="G11" s="82" t="n">
        <v>32000</v>
      </c>
      <c r="H11" s="82" t="n">
        <v>34500</v>
      </c>
      <c r="I11" s="96" t="inlineStr">
        <is>
          <t>Committed</t>
        </is>
      </c>
      <c r="J11" s="89">
        <f>IF(E11="","",EDATE(StartMonth,INDEX(BaseStarts,MATCH(E11,PhaseNames,0))+F11-2))</f>
        <v>46357</v>
      </c>
      <c r="K11" s="89">
        <f>IF(E11="","",EDATE(StartMonth,INDEX(FcStarts,MATCH(E11,PhaseNames,0))+F11-2))</f>
        <v>46357</v>
      </c>
      <c r="L11" s="56" t="str">
        <f>IF(E11="","",IF(F11&lt;=INDEX(FcMonths,MATCH(E11,PhaseNames,0)),"Yes","No"))</f>
        <v>Yes</v>
      </c>
      <c r="N11" s="27" t="inlineStr">
        <is>
          <t>Quote received 2 Oct, higher than the estimate</t>
        </is>
      </c>
    </row>
    <row r="12">
      <c r="B12" s="96" t="inlineStr">
        <is>
          <t>Accessibility audit (WCAG 2.2 AA)</t>
        </is>
      </c>
      <c r="C12" s="96" t="inlineStr">
        <is>
          <t>Clearpath Access</t>
        </is>
      </c>
      <c r="D12" s="96" t="inlineStr">
        <is>
          <t>Security &amp; accessibility</t>
        </is>
      </c>
      <c r="E12" s="96" t="inlineStr">
        <is>
          <t>Launch prep</t>
        </is>
      </c>
      <c r="F12" s="81" t="n">
        <v>2</v>
      </c>
      <c r="G12" s="82" t="n">
        <v>14000</v>
      </c>
      <c r="H12" s="82" t="n">
        <v>14000</v>
      </c>
      <c r="I12" s="96" t="inlineStr">
        <is>
          <t>Planned</t>
        </is>
      </c>
      <c r="J12" s="89">
        <f>IF(E12="","",EDATE(StartMonth,INDEX(BaseStarts,MATCH(E12,PhaseNames,0))+F12-2))</f>
        <v>46388</v>
      </c>
      <c r="K12" s="89">
        <f>IF(E12="","",EDATE(StartMonth,INDEX(FcStarts,MATCH(E12,PhaseNames,0))+F12-2))</f>
        <v>46388</v>
      </c>
      <c r="L12" s="56" t="str">
        <f>IF(E12="","",IF(F12&lt;=INDEX(FcMonths,MATCH(E12,PhaseNames,0)),"Yes","No"))</f>
        <v>Yes</v>
      </c>
    </row>
    <row r="13">
      <c r="B13" s="96" t="inlineStr">
        <is>
          <t>Older and foldable test phones</t>
        </is>
      </c>
      <c r="C13" s="96" t="inlineStr">
        <is>
          <t>Gadget Depot</t>
        </is>
      </c>
      <c r="D13" s="96" t="inlineStr">
        <is>
          <t>Test devices</t>
        </is>
      </c>
      <c r="E13" s="96" t="inlineStr">
        <is>
          <t>Launch prep</t>
        </is>
      </c>
      <c r="F13" s="81" t="n">
        <v>1</v>
      </c>
      <c r="G13" s="82" t="n">
        <v>0</v>
      </c>
      <c r="H13" s="82" t="n">
        <v>3800</v>
      </c>
      <c r="I13" s="96" t="inlineStr">
        <is>
          <t>Planned</t>
        </is>
      </c>
      <c r="J13" s="89">
        <f>IF(E13="","",EDATE(StartMonth,INDEX(BaseStarts,MATCH(E13,PhaseNames,0))+F13-2))</f>
        <v>46357</v>
      </c>
      <c r="K13" s="89">
        <f>IF(E13="","",EDATE(StartMonth,INDEX(FcStarts,MATCH(E13,PhaseNames,0))+F13-2))</f>
        <v>46357</v>
      </c>
      <c r="L13" s="56" t="str">
        <f>IF(E13="","",IF(F13&lt;=INDEX(FcMonths,MATCH(E13,PhaseNames,0)),"Yes","No"))</f>
        <v>Yes</v>
      </c>
      <c r="N13" s="27" t="inlineStr">
        <is>
          <t>New: crashes on older phones in the first beta</t>
        </is>
      </c>
    </row>
    <row r="14">
      <c r="B14" s="96" t="inlineStr">
        <is>
          <t>Store screenshots, preview video and launch film</t>
        </is>
      </c>
      <c r="C14" s="96" t="inlineStr">
        <is>
          <t>Studio Marlow</t>
        </is>
      </c>
      <c r="D14" s="96" t="inlineStr">
        <is>
          <t>Launch content</t>
        </is>
      </c>
      <c r="E14" s="96" t="inlineStr">
        <is>
          <t>Launch prep</t>
        </is>
      </c>
      <c r="F14" s="81" t="n">
        <v>2</v>
      </c>
      <c r="G14" s="82" t="n">
        <v>22000</v>
      </c>
      <c r="H14" s="82" t="n">
        <v>22000</v>
      </c>
      <c r="I14" s="96" t="inlineStr">
        <is>
          <t>Planned</t>
        </is>
      </c>
      <c r="J14" s="89">
        <f>IF(E14="","",EDATE(StartMonth,INDEX(BaseStarts,MATCH(E14,PhaseNames,0))+F14-2))</f>
        <v>46388</v>
      </c>
      <c r="K14" s="89">
        <f>IF(E14="","",EDATE(StartMonth,INDEX(FcStarts,MATCH(E14,PhaseNames,0))+F14-2))</f>
        <v>46388</v>
      </c>
      <c r="L14" s="56" t="str">
        <f>IF(E14="","",IF(F14&lt;=INDEX(FcMonths,MATCH(E14,PhaseNames,0)),"Yes","No"))</f>
        <v>Yes</v>
      </c>
    </row>
    <row r="15">
      <c r="B15" s="96" t="n"/>
      <c r="C15" s="96" t="n"/>
      <c r="D15" s="96" t="n"/>
      <c r="E15" s="96" t="n"/>
      <c r="F15" s="81" t="n"/>
      <c r="G15" s="82" t="n"/>
      <c r="H15" s="82" t="n"/>
      <c r="I15" s="96" t="n"/>
      <c r="J15" s="89" t="str">
        <f>IF(E15="","",EDATE(StartMonth,INDEX(BaseStarts,MATCH(E15,PhaseNames,0))+F15-2))</f>
        <v/>
      </c>
      <c r="K15" s="89" t="str">
        <f>IF(E15="","",EDATE(StartMonth,INDEX(FcStarts,MATCH(E15,PhaseNames,0))+F15-2))</f>
        <v/>
      </c>
      <c r="L15" s="56" t="str">
        <f>IF(E15="","",IF(F15&lt;=INDEX(FcMonths,MATCH(E15,PhaseNames,0)),"Yes","No"))</f>
        <v/>
      </c>
    </row>
    <row r="16">
      <c r="B16" s="96" t="n"/>
      <c r="C16" s="96" t="n"/>
      <c r="D16" s="96" t="n"/>
      <c r="E16" s="96" t="n"/>
      <c r="F16" s="81" t="n"/>
      <c r="G16" s="82" t="n"/>
      <c r="H16" s="82" t="n"/>
      <c r="I16" s="96" t="n"/>
      <c r="J16" s="89" t="str">
        <f>IF(E16="","",EDATE(StartMonth,INDEX(BaseStarts,MATCH(E16,PhaseNames,0))+F16-2))</f>
        <v/>
      </c>
      <c r="K16" s="89" t="str">
        <f>IF(E16="","",EDATE(StartMonth,INDEX(FcStarts,MATCH(E16,PhaseNames,0))+F16-2))</f>
        <v/>
      </c>
      <c r="L16" s="56" t="str">
        <f>IF(E16="","",IF(F16&lt;=INDEX(FcMonths,MATCH(E16,PhaseNames,0)),"Yes","No"))</f>
        <v/>
      </c>
    </row>
    <row r="17">
      <c r="B17" s="96" t="n"/>
      <c r="C17" s="96" t="n"/>
      <c r="D17" s="96" t="n"/>
      <c r="E17" s="96" t="n"/>
      <c r="F17" s="81" t="n"/>
      <c r="G17" s="82" t="n"/>
      <c r="H17" s="82" t="n"/>
      <c r="I17" s="96" t="n"/>
      <c r="J17" s="89" t="str">
        <f>IF(E17="","",EDATE(StartMonth,INDEX(BaseStarts,MATCH(E17,PhaseNames,0))+F17-2))</f>
        <v/>
      </c>
      <c r="K17" s="89" t="str">
        <f>IF(E17="","",EDATE(StartMonth,INDEX(FcStarts,MATCH(E17,PhaseNames,0))+F17-2))</f>
        <v/>
      </c>
      <c r="L17" s="56" t="str">
        <f>IF(E17="","",IF(F17&lt;=INDEX(FcMonths,MATCH(E17,PhaseNames,0)),"Yes","No"))</f>
        <v/>
      </c>
    </row>
    <row r="18">
      <c r="B18" s="96" t="n"/>
      <c r="C18" s="96" t="n"/>
      <c r="D18" s="96" t="n"/>
      <c r="E18" s="96" t="n"/>
      <c r="F18" s="81" t="n"/>
      <c r="G18" s="82" t="n"/>
      <c r="H18" s="82" t="n"/>
      <c r="I18" s="96" t="n"/>
      <c r="J18" s="89" t="str">
        <f>IF(E18="","",EDATE(StartMonth,INDEX(BaseStarts,MATCH(E18,PhaseNames,0))+F18-2))</f>
        <v/>
      </c>
      <c r="K18" s="89" t="str">
        <f>IF(E18="","",EDATE(StartMonth,INDEX(FcStarts,MATCH(E18,PhaseNames,0))+F18-2))</f>
        <v/>
      </c>
      <c r="L18" s="56" t="str">
        <f>IF(E18="","",IF(F18&lt;=INDEX(FcMonths,MATCH(E18,PhaseNames,0)),"Yes","No"))</f>
        <v/>
      </c>
    </row>
    <row r="19">
      <c r="B19" s="60" t="inlineStr">
        <is>
          <t>Total</t>
        </is>
      </c>
      <c r="C19" s="75" t="n"/>
      <c r="D19" s="75" t="n"/>
      <c r="E19" s="75" t="n"/>
      <c r="F19" s="75" t="n"/>
      <c r="G19" s="102">
        <f>SUM(G7:G18)</f>
        <v>135500</v>
      </c>
      <c r="H19" s="102">
        <f>SUM(H7:H18)</f>
        <v>144740</v>
      </c>
      <c r="I19" s="75" t="n"/>
      <c r="J19" s="75" t="n"/>
      <c r="K19" s="75" t="n"/>
      <c r="L19" s="75" t="n"/>
    </row>
    <row r="21" ht="22" customHeight="1">
      <c r="B21" s="39" t="inlineStr">
        <is>
          <t>2  Change requests</t>
        </is>
      </c>
      <c r="C21" s="40" t="n"/>
      <c r="D21" s="40" t="n"/>
      <c r="E21" s="40" t="n"/>
      <c r="F21" s="40" t="n"/>
      <c r="G21" s="40" t="n"/>
      <c r="H21" s="40" t="n"/>
      <c r="I21" s="40" t="n"/>
      <c r="J21" s="40" t="n"/>
      <c r="K21" s="40" t="n"/>
      <c r="L21" s="40" t="n"/>
    </row>
    <row r="22">
      <c r="B22" s="41" t="inlineStr">
        <is>
          <t>Fixed bids from the development agencies for scope added after the baseline. Approved ones are funded from the contingency.</t>
        </is>
      </c>
    </row>
    <row r="23" ht="20" customHeight="1">
      <c r="B23" s="53" t="inlineStr">
        <is>
          <t>Change</t>
        </is>
      </c>
      <c r="C23" s="53" t="inlineStr">
        <is>
          <t>Reference</t>
        </is>
      </c>
      <c r="D23" s="53" t="inlineStr">
        <is>
          <t>Status</t>
        </is>
      </c>
      <c r="E23" s="54" t="inlineStr">
        <is>
          <t>Month</t>
        </is>
      </c>
      <c r="F23" s="54" t="n"/>
      <c r="G23" s="54" t="inlineStr">
        <is>
          <t>Cost</t>
        </is>
      </c>
      <c r="H23" s="95" t="inlineStr">
        <is>
          <t>In forecast</t>
        </is>
      </c>
    </row>
    <row r="24">
      <c r="B24" s="96" t="inlineStr">
        <is>
          <t>Apple Pay and Google Pay at checkout</t>
        </is>
      </c>
      <c r="C24" s="96" t="inlineStr">
        <is>
          <t>CR-01</t>
        </is>
      </c>
      <c r="D24" s="96" t="inlineStr">
        <is>
          <t>Approved</t>
        </is>
      </c>
      <c r="E24" s="80" t="n">
        <v>46327</v>
      </c>
      <c r="F24" s="6" t="n"/>
      <c r="G24" s="82" t="n">
        <v>38000</v>
      </c>
      <c r="H24" s="56" t="str">
        <f>IF(B24="","",IF(OR(D24="Approved",AND(D24="Pending",IncludePending="Yes")),"Yes","No"))</f>
        <v>Yes</v>
      </c>
      <c r="I24" s="6" t="n"/>
      <c r="J24" s="6" t="n"/>
      <c r="K24" s="6" t="n"/>
      <c r="L24" s="6" t="n"/>
      <c r="N24" s="27" t="inlineStr">
        <is>
          <t>Approved 21 Aug</t>
        </is>
      </c>
    </row>
    <row r="25">
      <c r="B25" s="96" t="inlineStr">
        <is>
          <t>Allergen and nutrition info from the menu system</t>
        </is>
      </c>
      <c r="C25" s="96" t="inlineStr">
        <is>
          <t>CR-02</t>
        </is>
      </c>
      <c r="D25" s="96" t="inlineStr">
        <is>
          <t>Approved</t>
        </is>
      </c>
      <c r="E25" s="80" t="n">
        <v>46357</v>
      </c>
      <c r="F25" s="6" t="n"/>
      <c r="G25" s="82" t="n">
        <v>21500</v>
      </c>
      <c r="H25" s="56" t="str">
        <f>IF(B25="","",IF(OR(D25="Approved",AND(D25="Pending",IncludePending="Yes")),"Yes","No"))</f>
        <v>Yes</v>
      </c>
      <c r="I25" s="6" t="n"/>
      <c r="J25" s="6" t="n"/>
      <c r="K25" s="6" t="n"/>
      <c r="L25" s="6" t="n"/>
      <c r="N25" s="27" t="inlineStr">
        <is>
          <t>Approved 18 Sep</t>
        </is>
      </c>
    </row>
    <row r="26">
      <c r="B26" s="96" t="inlineStr">
        <is>
          <t>Gift cards in the app</t>
        </is>
      </c>
      <c r="C26" s="96" t="inlineStr">
        <is>
          <t>CR-03</t>
        </is>
      </c>
      <c r="D26" s="96" t="inlineStr">
        <is>
          <t>Pending</t>
        </is>
      </c>
      <c r="E26" s="80" t="n">
        <v>46419</v>
      </c>
      <c r="F26" s="6" t="n"/>
      <c r="G26" s="82" t="n">
        <v>46000</v>
      </c>
      <c r="H26" s="56" t="str">
        <f>IF(B26="","",IF(OR(D26="Approved",AND(D26="Pending",IncludePending="Yes")),"Yes","No"))</f>
        <v>No</v>
      </c>
      <c r="I26" s="6" t="n"/>
      <c r="J26" s="6" t="n"/>
      <c r="K26" s="6" t="n"/>
      <c r="L26" s="6" t="n"/>
      <c r="N26" s="27" t="inlineStr">
        <is>
          <t>Decision at the October steering committee</t>
        </is>
      </c>
    </row>
    <row r="27">
      <c r="B27" s="96" t="inlineStr">
        <is>
          <t>Apple Watch app</t>
        </is>
      </c>
      <c r="C27" s="96" t="inlineStr">
        <is>
          <t>CR-04</t>
        </is>
      </c>
      <c r="D27" s="96" t="inlineStr">
        <is>
          <t>Rejected</t>
        </is>
      </c>
      <c r="E27" s="80" t="n">
        <v>46447</v>
      </c>
      <c r="F27" s="6" t="n"/>
      <c r="G27" s="82" t="n">
        <v>64000</v>
      </c>
      <c r="H27" s="56" t="str">
        <f>IF(B27="","",IF(OR(D27="Approved",AND(D27="Pending",IncludePending="Yes")),"Yes","No"))</f>
        <v>No</v>
      </c>
      <c r="I27" s="6" t="n"/>
      <c r="J27" s="6" t="n"/>
      <c r="K27" s="6" t="n"/>
      <c r="L27" s="6" t="n"/>
      <c r="N27" s="27" t="inlineStr">
        <is>
          <t>Rejected 18 Sep: after launch, if at all</t>
        </is>
      </c>
    </row>
    <row r="28">
      <c r="B28" s="96" t="n"/>
      <c r="C28" s="96" t="n"/>
      <c r="D28" s="96" t="n"/>
      <c r="E28" s="80" t="n"/>
      <c r="F28" s="6" t="n"/>
      <c r="G28" s="82" t="n"/>
      <c r="H28" s="56" t="str">
        <f>IF(B28="","",IF(OR(D28="Approved",AND(D28="Pending",IncludePending="Yes")),"Yes","No"))</f>
        <v/>
      </c>
      <c r="I28" s="6" t="n"/>
      <c r="J28" s="6" t="n"/>
      <c r="K28" s="6" t="n"/>
      <c r="L28" s="6" t="n"/>
    </row>
    <row r="29">
      <c r="B29" s="96" t="n"/>
      <c r="C29" s="96" t="n"/>
      <c r="D29" s="96" t="n"/>
      <c r="E29" s="80" t="n"/>
      <c r="F29" s="6" t="n"/>
      <c r="G29" s="82" t="n"/>
      <c r="H29" s="56" t="str">
        <f>IF(B29="","",IF(OR(D29="Approved",AND(D29="Pending",IncludePending="Yes")),"Yes","No"))</f>
        <v/>
      </c>
      <c r="I29" s="6" t="n"/>
      <c r="J29" s="6" t="n"/>
      <c r="K29" s="6" t="n"/>
      <c r="L29" s="6" t="n"/>
    </row>
    <row r="30">
      <c r="B30" s="60" t="inlineStr">
        <is>
          <t>Approved</t>
        </is>
      </c>
      <c r="C30" s="75" t="n"/>
      <c r="D30" s="75" t="n"/>
      <c r="E30" s="75" t="n"/>
      <c r="F30" s="75" t="n"/>
      <c r="G30" s="102">
        <f>SUMIFS(G24:G29,D24:D29,"Approved")</f>
        <v>59500</v>
      </c>
      <c r="H30" s="75" t="n"/>
      <c r="I30" s="75" t="n"/>
      <c r="J30" s="75" t="n"/>
      <c r="K30" s="75" t="n"/>
      <c r="L30" s="75" t="n"/>
    </row>
    <row r="31">
      <c r="B31" s="11" t="inlineStr">
        <is>
          <t>Pending</t>
        </is>
      </c>
      <c r="G31" s="17">
        <f>SUMIFS(G24:G29,D24:D29,"Pending")</f>
        <v>46000</v>
      </c>
    </row>
  </sheetData>
  <sheetProtection selectLockedCells="0" selectUnlockedCells="0" sheet="1" objects="0" insertRows="1" insertHyperlinks="1" autoFilter="1" scenarios="0" formatColumns="0" deleteColumns="1" insertColumns="1" pivotTables="1" deleteRows="1" formatCells="1" formatRows="0" sort="1"/>
  <conditionalFormatting sqref="B7:H18">
    <cfRule type="expression" priority="1" dxfId="10" stopIfTrue="0">
      <formula>$I7="Paid"</formula>
    </cfRule>
  </conditionalFormatting>
  <conditionalFormatting sqref="H7:H18">
    <cfRule type="expression" priority="2" dxfId="9" stopIfTrue="0">
      <formula>AND($I7&lt;&gt;"Paid",H7&lt;&gt;G7)</formula>
    </cfRule>
  </conditionalFormatting>
  <conditionalFormatting sqref="L7:L18">
    <cfRule type="expression" priority="3" dxfId="6" stopIfTrue="0">
      <formula>L7="No"</formula>
    </cfRule>
  </conditionalFormatting>
  <conditionalFormatting sqref="B24:G29">
    <cfRule type="expression" priority="4" dxfId="11" stopIfTrue="0">
      <formula>$D24="Rejected"</formula>
    </cfRule>
  </conditionalFormatting>
  <conditionalFormatting sqref="H24:H29">
    <cfRule type="expression" priority="5" dxfId="12" stopIfTrue="0">
      <formula>H24="Yes"</formula>
    </cfRule>
  </conditionalFormatting>
  <dataValidations count="7">
    <dataValidation sqref="D7:D18" showDropDown="0" showInputMessage="1" showErrorMessage="0" allowBlank="0" promptTitle="Cost line" prompt="A cost line from the Vendors &amp; purchases group." type="list">
      <formula1>"User research &amp; testing,Security &amp; accessibility,Payment certification,Test devices,Launch content"</formula1>
    </dataValidation>
    <dataValidation sqref="E7:E18" showDropDown="0" showInputMessage="1" showErrorMessage="0" allowBlank="0" promptTitle="Phase" prompt="The phase the item falls in." type="list">
      <formula1>=Inputs!$B$29:$B$33</formula1>
    </dataValidation>
    <dataValidation sqref="I7:I18" showDropDown="0" showInputMessage="1" showErrorMessage="0" allowBlank="0" promptTitle="Status" prompt="Paid items are in the actuals and drop out of the forecast." type="list">
      <formula1>"Paid,Committed,Planned"</formula1>
    </dataValidation>
    <dataValidation sqref="F7:F18" showDropDown="0" showInputMessage="1" showErrorMessage="1" allowBlank="0" errorTitle="Not a valid input" error="Please enter a number in the allowed range." promptTitle="Month of phase" prompt="1 = the phase's first month." type="whole" operator="between">
      <formula1>1</formula1>
      <formula2>12</formula2>
    </dataValidation>
    <dataValidation sqref="G7:H18" showDropDown="0" showInputMessage="0" showErrorMessage="1" allowBlank="0" errorTitle="Not a valid input" error="Please enter a number of 0 or more." type="decimal" operator="greaterThanOrEqual">
      <formula1>0</formula1>
    </dataValidation>
    <dataValidation sqref="D24:D29" showDropDown="0" showInputMessage="1" showErrorMessage="0" allowBlank="0" promptTitle="Status" prompt="Only approved changes are in the forecast, unless the what-if includes pending ones." type="list">
      <formula1>"Approved,Pending,Rejected"</formula1>
    </dataValidation>
    <dataValidation sqref="E24:E29" showDropDown="0" showInputMessage="1" showErrorMessage="0" allowBlank="0" promptTitle="Month" prompt="The month the work is invoiced." type="list">
      <formula1>=Calc!$F$5:$T$5</formula1>
    </dataValidation>
  </dataValidations>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7.xml><?xml version="1.0" encoding="utf-8"?>
<worksheet xmlns="http://schemas.openxmlformats.org/spreadsheetml/2006/main">
  <sheetPr>
    <tabColor rgb="00D9A400"/>
    <outlinePr summaryBelow="1" summaryRight="1"/>
    <pageSetUpPr fitToPage="1"/>
  </sheetPr>
  <dimension ref="B2:G72"/>
  <sheetViews>
    <sheetView showGridLines="0" zoomScale="100" workbookViewId="0">
      <pane xSplit="1" ySplit="8" topLeftCell="B9" activePane="bottomRight" state="frozen"/>
      <selection pane="topRight" activeCell="A1" sqref="A1"/>
      <selection pane="bottomLeft"/>
      <selection pane="bottomRight" activeCell="A1" sqref="A1"/>
    </sheetView>
  </sheetViews>
  <sheetFormatPr baseColWidth="8" defaultRowHeight="15" customHeight="1"/>
  <cols>
    <col width="2.5" customWidth="1" min="1" max="1"/>
    <col width="11" customWidth="1" min="2" max="2"/>
    <col width="24" customWidth="1" min="3" max="3"/>
    <col width="20" customWidth="1" min="4" max="4"/>
    <col width="56" customWidth="1" min="5" max="5"/>
    <col width="13" customWidth="1" min="6" max="6"/>
    <col width="13" customWidth="1" min="7" max="7"/>
    <col width="2.5" customWidth="1" min="8" max="8"/>
  </cols>
  <sheetData>
    <row r="1" ht="10" customHeight="1"/>
    <row r="2" ht="30" customHeight="1">
      <c r="B2" s="49" t="inlineStr">
        <is>
          <t>Actuals</t>
        </is>
      </c>
    </row>
    <row r="3" ht="18" customHeight="1">
      <c r="B3" s="24" t="inlineStr">
        <is>
          <t>The project's costs as booked by finance: one row per invoice, payroll allocation, accrual or credit note. Paste each month's export at the bottom of the table.</t>
        </is>
      </c>
    </row>
    <row r="5">
      <c r="B5" s="27" t="inlineStr">
        <is>
          <t>Rows</t>
        </is>
      </c>
      <c r="C5" s="105">
        <f>ROWS(Ledger[Amount])</f>
        <v>64</v>
      </c>
      <c r="D5" s="106" t="inlineStr">
        <is>
          <t>Total</t>
        </is>
      </c>
      <c r="E5" s="107">
        <f>SUM(Ledger[Amount])</f>
        <v>826535</v>
      </c>
      <c r="F5" s="106" t="inlineStr">
        <is>
          <t>Closed through</t>
        </is>
      </c>
      <c r="G5" s="108">
        <f>ActualsThrough</f>
        <v>46266</v>
      </c>
    </row>
    <row r="6">
      <c r="B6" s="27" t="inlineStr">
        <is>
          <t>Latest</t>
        </is>
      </c>
      <c r="C6" s="109">
        <f>MAX(Ledger[Period])</f>
        <v>46266</v>
      </c>
      <c r="D6" s="106" t="inlineStr">
        <is>
          <t>Ignored</t>
        </is>
      </c>
      <c r="E6" s="110" t="str">
        <f>COUNTIFS(Ledger[Period],"&gt;"&amp;ActualsThrough)&amp;" rows after the last closed month (shown grey)"</f>
        <v>0 rows after the last closed month (shown grey)</v>
      </c>
    </row>
    <row r="8" ht="22" customHeight="1">
      <c r="B8" s="111" t="inlineStr">
        <is>
          <t>Period</t>
        </is>
      </c>
      <c r="C8" s="111" t="inlineStr">
        <is>
          <t>Cost line</t>
        </is>
      </c>
      <c r="D8" s="111" t="inlineStr">
        <is>
          <t>Supplier</t>
        </is>
      </c>
      <c r="E8" s="111" t="inlineStr">
        <is>
          <t>Description</t>
        </is>
      </c>
      <c r="F8" s="111" t="inlineStr">
        <is>
          <t>Reference</t>
        </is>
      </c>
      <c r="G8" s="112" t="inlineStr">
        <is>
          <t>Amount</t>
        </is>
      </c>
    </row>
    <row r="9">
      <c r="B9" s="113" t="n">
        <v>46113</v>
      </c>
      <c r="C9" s="114" t="inlineStr">
        <is>
          <t>Product management</t>
        </is>
      </c>
      <c r="D9" s="114" t="inlineStr">
        <is>
          <t>Payroll allocation</t>
        </is>
      </c>
      <c r="E9" s="114" t="inlineStr">
        <is>
          <t>Apr 2026: 1 FTE at standard cost</t>
        </is>
      </c>
      <c r="F9" s="114" t="inlineStr">
        <is>
          <t>JNL-2604-01</t>
        </is>
      </c>
      <c r="G9" s="115" t="n">
        <v>14500</v>
      </c>
    </row>
    <row r="10">
      <c r="B10" s="113" t="n">
        <v>46113</v>
      </c>
      <c r="C10" s="114" t="inlineStr">
        <is>
          <t>Product design</t>
        </is>
      </c>
      <c r="D10" s="114" t="inlineStr">
        <is>
          <t>Payroll allocation</t>
        </is>
      </c>
      <c r="E10" s="114" t="inlineStr">
        <is>
          <t>Apr 2026: 1 FTE at standard cost</t>
        </is>
      </c>
      <c r="F10" s="114" t="inlineStr">
        <is>
          <t>JNL-2604-02</t>
        </is>
      </c>
      <c r="G10" s="115" t="n">
        <v>12500</v>
      </c>
    </row>
    <row r="11">
      <c r="B11" s="113" t="n">
        <v>46113</v>
      </c>
      <c r="C11" s="114" t="inlineStr">
        <is>
          <t>Backend &amp; integrations</t>
        </is>
      </c>
      <c r="D11" s="114" t="inlineStr">
        <is>
          <t>Payroll allocation</t>
        </is>
      </c>
      <c r="E11" s="114" t="inlineStr">
        <is>
          <t>Apr 2026: 0.5 FTE at standard cost</t>
        </is>
      </c>
      <c r="F11" s="114" t="inlineStr">
        <is>
          <t>JNL-2604-03</t>
        </is>
      </c>
      <c r="G11" s="115" t="n">
        <v>7000</v>
      </c>
    </row>
    <row r="12">
      <c r="B12" s="113" t="n">
        <v>46113</v>
      </c>
      <c r="C12" s="114" t="inlineStr">
        <is>
          <t>Cloud &amp; DevOps</t>
        </is>
      </c>
      <c r="D12" s="114" t="inlineStr">
        <is>
          <t>Payroll allocation</t>
        </is>
      </c>
      <c r="E12" s="114" t="inlineStr">
        <is>
          <t>Apr 2026: 0.25 FTE at standard cost</t>
        </is>
      </c>
      <c r="F12" s="114" t="inlineStr">
        <is>
          <t>JNL-2604-04</t>
        </is>
      </c>
      <c r="G12" s="115" t="n">
        <v>3625</v>
      </c>
    </row>
    <row r="13">
      <c r="B13" s="113" t="n">
        <v>46113</v>
      </c>
      <c r="C13" s="114" t="inlineStr">
        <is>
          <t>Engineering lead</t>
        </is>
      </c>
      <c r="D13" s="114" t="inlineStr">
        <is>
          <t>Payroll allocation</t>
        </is>
      </c>
      <c r="E13" s="114" t="inlineStr">
        <is>
          <t>Apr 2026: 0.5 FTE at standard cost</t>
        </is>
      </c>
      <c r="F13" s="114" t="inlineStr">
        <is>
          <t>JNL-2604-05</t>
        </is>
      </c>
      <c r="G13" s="115" t="n">
        <v>8250</v>
      </c>
    </row>
    <row r="14">
      <c r="B14" s="113" t="n">
        <v>46113</v>
      </c>
      <c r="C14" s="114" t="inlineStr">
        <is>
          <t>Cloud hosting</t>
        </is>
      </c>
      <c r="D14" s="114" t="inlineStr">
        <is>
          <t>Cloud provider</t>
        </is>
      </c>
      <c r="E14" s="114" t="inlineStr">
        <is>
          <t>Apr 2026: Monthly usage invoice</t>
        </is>
      </c>
      <c r="F14" s="114" t="inlineStr">
        <is>
          <t>INV-2604-06</t>
        </is>
      </c>
      <c r="G14" s="115" t="n">
        <v>380</v>
      </c>
    </row>
    <row r="15">
      <c r="B15" s="113" t="n">
        <v>46113</v>
      </c>
      <c r="C15" s="114" t="inlineStr">
        <is>
          <t>Software &amp; tools</t>
        </is>
      </c>
      <c r="D15" s="114" t="inlineStr">
        <is>
          <t>Tool subscriptions</t>
        </is>
      </c>
      <c r="E15" s="114" t="inlineStr">
        <is>
          <t>Apr 2026: Design, code, test and monitoring tools</t>
        </is>
      </c>
      <c r="F15" s="114" t="inlineStr">
        <is>
          <t>INV-2604-07</t>
        </is>
      </c>
      <c r="G15" s="115" t="n">
        <v>1800</v>
      </c>
    </row>
    <row r="16">
      <c r="B16" s="113" t="n">
        <v>46143</v>
      </c>
      <c r="C16" s="114" t="inlineStr">
        <is>
          <t>Product management</t>
        </is>
      </c>
      <c r="D16" s="114" t="inlineStr">
        <is>
          <t>Payroll allocation</t>
        </is>
      </c>
      <c r="E16" s="114" t="inlineStr">
        <is>
          <t>May 2026: 1 FTE at standard cost</t>
        </is>
      </c>
      <c r="F16" s="114" t="inlineStr">
        <is>
          <t>JNL-2605-01</t>
        </is>
      </c>
      <c r="G16" s="115" t="n">
        <v>14500</v>
      </c>
    </row>
    <row r="17">
      <c r="B17" s="113" t="n">
        <v>46143</v>
      </c>
      <c r="C17" s="114" t="inlineStr">
        <is>
          <t>Product design</t>
        </is>
      </c>
      <c r="D17" s="114" t="inlineStr">
        <is>
          <t>Payroll allocation</t>
        </is>
      </c>
      <c r="E17" s="114" t="inlineStr">
        <is>
          <t>May 2026: 1.5 FTE at standard cost</t>
        </is>
      </c>
      <c r="F17" s="114" t="inlineStr">
        <is>
          <t>JNL-2605-02</t>
        </is>
      </c>
      <c r="G17" s="115" t="n">
        <v>18750</v>
      </c>
    </row>
    <row r="18">
      <c r="B18" s="113" t="n">
        <v>46143</v>
      </c>
      <c r="C18" s="114" t="inlineStr">
        <is>
          <t>iOS development</t>
        </is>
      </c>
      <c r="D18" s="114" t="inlineStr">
        <is>
          <t>Brightlane Studio</t>
        </is>
      </c>
      <c r="E18" s="114" t="inlineStr">
        <is>
          <t>May 2026: 8 days at $780</t>
        </is>
      </c>
      <c r="F18" s="114" t="inlineStr">
        <is>
          <t>INV-2605-03</t>
        </is>
      </c>
      <c r="G18" s="115" t="n">
        <v>6240</v>
      </c>
    </row>
    <row r="19">
      <c r="B19" s="113" t="n">
        <v>46143</v>
      </c>
      <c r="C19" s="114" t="inlineStr">
        <is>
          <t>Android development</t>
        </is>
      </c>
      <c r="D19" s="114" t="inlineStr">
        <is>
          <t>Parallel Apps</t>
        </is>
      </c>
      <c r="E19" s="114" t="inlineStr">
        <is>
          <t>May 2026: 9 days at $760</t>
        </is>
      </c>
      <c r="F19" s="114" t="inlineStr">
        <is>
          <t>INV-2605-04</t>
        </is>
      </c>
      <c r="G19" s="115" t="n">
        <v>6840</v>
      </c>
    </row>
    <row r="20">
      <c r="B20" s="113" t="n">
        <v>46143</v>
      </c>
      <c r="C20" s="114" t="inlineStr">
        <is>
          <t>Backend &amp; integrations</t>
        </is>
      </c>
      <c r="D20" s="114" t="inlineStr">
        <is>
          <t>Payroll allocation</t>
        </is>
      </c>
      <c r="E20" s="114" t="inlineStr">
        <is>
          <t>May 2026: 1 FTE at standard cost</t>
        </is>
      </c>
      <c r="F20" s="114" t="inlineStr">
        <is>
          <t>JNL-2605-05</t>
        </is>
      </c>
      <c r="G20" s="115" t="n">
        <v>14000</v>
      </c>
    </row>
    <row r="21">
      <c r="B21" s="113" t="n">
        <v>46143</v>
      </c>
      <c r="C21" s="114" t="inlineStr">
        <is>
          <t>Cloud &amp; DevOps</t>
        </is>
      </c>
      <c r="D21" s="114" t="inlineStr">
        <is>
          <t>Payroll allocation</t>
        </is>
      </c>
      <c r="E21" s="114" t="inlineStr">
        <is>
          <t>May 2026: 0.25 FTE at standard cost</t>
        </is>
      </c>
      <c r="F21" s="114" t="inlineStr">
        <is>
          <t>JNL-2605-06</t>
        </is>
      </c>
      <c r="G21" s="115" t="n">
        <v>3625</v>
      </c>
    </row>
    <row r="22">
      <c r="B22" s="113" t="n">
        <v>46143</v>
      </c>
      <c r="C22" s="114" t="inlineStr">
        <is>
          <t>Engineering lead</t>
        </is>
      </c>
      <c r="D22" s="114" t="inlineStr">
        <is>
          <t>Payroll allocation</t>
        </is>
      </c>
      <c r="E22" s="114" t="inlineStr">
        <is>
          <t>May 2026: 1 FTE at standard cost</t>
        </is>
      </c>
      <c r="F22" s="114" t="inlineStr">
        <is>
          <t>JNL-2605-07</t>
        </is>
      </c>
      <c r="G22" s="115" t="n">
        <v>16500</v>
      </c>
    </row>
    <row r="23">
      <c r="B23" s="113" t="n">
        <v>46143</v>
      </c>
      <c r="C23" s="114" t="inlineStr">
        <is>
          <t>Cloud hosting</t>
        </is>
      </c>
      <c r="D23" s="114" t="inlineStr">
        <is>
          <t>Cloud provider</t>
        </is>
      </c>
      <c r="E23" s="114" t="inlineStr">
        <is>
          <t>May 2026: Monthly usage invoice</t>
        </is>
      </c>
      <c r="F23" s="114" t="inlineStr">
        <is>
          <t>INV-2605-08</t>
        </is>
      </c>
      <c r="G23" s="115" t="n">
        <v>1140</v>
      </c>
    </row>
    <row r="24">
      <c r="B24" s="113" t="n">
        <v>46143</v>
      </c>
      <c r="C24" s="114" t="inlineStr">
        <is>
          <t>Software &amp; tools</t>
        </is>
      </c>
      <c r="D24" s="114" t="inlineStr">
        <is>
          <t>Tool subscriptions</t>
        </is>
      </c>
      <c r="E24" s="114" t="inlineStr">
        <is>
          <t>May 2026: Design, code, test and monitoring tools</t>
        </is>
      </c>
      <c r="F24" s="114" t="inlineStr">
        <is>
          <t>INV-2605-09</t>
        </is>
      </c>
      <c r="G24" s="115" t="n">
        <v>3350</v>
      </c>
    </row>
    <row r="25">
      <c r="B25" s="113" t="n">
        <v>46143</v>
      </c>
      <c r="C25" s="114" t="inlineStr">
        <is>
          <t>Third-party services</t>
        </is>
      </c>
      <c r="D25" s="114" t="inlineStr">
        <is>
          <t>API services</t>
        </is>
      </c>
      <c r="E25" s="114" t="inlineStr">
        <is>
          <t>May 2026: Maps, push notifications and text messages</t>
        </is>
      </c>
      <c r="F25" s="114" t="inlineStr">
        <is>
          <t>INV-2605-10</t>
        </is>
      </c>
      <c r="G25" s="115" t="n">
        <v>210</v>
      </c>
    </row>
    <row r="26">
      <c r="B26" s="113" t="n">
        <v>46143</v>
      </c>
      <c r="C26" s="114" t="inlineStr">
        <is>
          <t>User research &amp; testing</t>
        </is>
      </c>
      <c r="D26" s="114" t="inlineStr">
        <is>
          <t>Fieldnote Research</t>
        </is>
      </c>
      <c r="E26" s="114" t="inlineStr">
        <is>
          <t>Discovery interviews and usability tests, round 1</t>
        </is>
      </c>
      <c r="F26" s="114" t="inlineStr">
        <is>
          <t>INV-2605-11</t>
        </is>
      </c>
      <c r="G26" s="115" t="n">
        <v>24000</v>
      </c>
    </row>
    <row r="27">
      <c r="B27" s="113" t="n">
        <v>46174</v>
      </c>
      <c r="C27" s="114" t="inlineStr">
        <is>
          <t>Product management</t>
        </is>
      </c>
      <c r="D27" s="114" t="inlineStr">
        <is>
          <t>Payroll allocation</t>
        </is>
      </c>
      <c r="E27" s="114" t="inlineStr">
        <is>
          <t>Jun 2026: 1 FTE at standard cost</t>
        </is>
      </c>
      <c r="F27" s="114" t="inlineStr">
        <is>
          <t>JNL-2606-01</t>
        </is>
      </c>
      <c r="G27" s="115" t="n">
        <v>14500</v>
      </c>
    </row>
    <row r="28">
      <c r="B28" s="113" t="n">
        <v>46174</v>
      </c>
      <c r="C28" s="114" t="inlineStr">
        <is>
          <t>Product design</t>
        </is>
      </c>
      <c r="D28" s="114" t="inlineStr">
        <is>
          <t>Payroll allocation</t>
        </is>
      </c>
      <c r="E28" s="114" t="inlineStr">
        <is>
          <t>Jun 2026: 2 FTE at standard cost</t>
        </is>
      </c>
      <c r="F28" s="114" t="inlineStr">
        <is>
          <t>JNL-2606-02</t>
        </is>
      </c>
      <c r="G28" s="115" t="n">
        <v>25000</v>
      </c>
    </row>
    <row r="29">
      <c r="B29" s="113" t="n">
        <v>46174</v>
      </c>
      <c r="C29" s="114" t="inlineStr">
        <is>
          <t>iOS development</t>
        </is>
      </c>
      <c r="D29" s="114" t="inlineStr">
        <is>
          <t>Brightlane Studio</t>
        </is>
      </c>
      <c r="E29" s="114" t="inlineStr">
        <is>
          <t>Jun 2026: 9 days at $780</t>
        </is>
      </c>
      <c r="F29" s="114" t="inlineStr">
        <is>
          <t>INV-2606-03</t>
        </is>
      </c>
      <c r="G29" s="115" t="n">
        <v>7020</v>
      </c>
    </row>
    <row r="30">
      <c r="B30" s="113" t="n">
        <v>46174</v>
      </c>
      <c r="C30" s="114" t="inlineStr">
        <is>
          <t>Android development</t>
        </is>
      </c>
      <c r="D30" s="114" t="inlineStr">
        <is>
          <t>Parallel Apps</t>
        </is>
      </c>
      <c r="E30" s="114" t="inlineStr">
        <is>
          <t>Jun 2026: 9 days at $760</t>
        </is>
      </c>
      <c r="F30" s="114" t="inlineStr">
        <is>
          <t>INV-2606-04</t>
        </is>
      </c>
      <c r="G30" s="115" t="n">
        <v>6840</v>
      </c>
    </row>
    <row r="31">
      <c r="B31" s="113" t="n">
        <v>46174</v>
      </c>
      <c r="C31" s="114" t="inlineStr">
        <is>
          <t>Backend &amp; integrations</t>
        </is>
      </c>
      <c r="D31" s="114" t="inlineStr">
        <is>
          <t>Payroll allocation</t>
        </is>
      </c>
      <c r="E31" s="114" t="inlineStr">
        <is>
          <t>Jun 2026: 1 FTE at standard cost</t>
        </is>
      </c>
      <c r="F31" s="114" t="inlineStr">
        <is>
          <t>JNL-2606-05</t>
        </is>
      </c>
      <c r="G31" s="115" t="n">
        <v>14000</v>
      </c>
    </row>
    <row r="32">
      <c r="B32" s="113" t="n">
        <v>46174</v>
      </c>
      <c r="C32" s="114" t="inlineStr">
        <is>
          <t>Cloud &amp; DevOps</t>
        </is>
      </c>
      <c r="D32" s="114" t="inlineStr">
        <is>
          <t>Payroll allocation</t>
        </is>
      </c>
      <c r="E32" s="114" t="inlineStr">
        <is>
          <t>Jun 2026: 0.25 FTE at standard cost</t>
        </is>
      </c>
      <c r="F32" s="114" t="inlineStr">
        <is>
          <t>JNL-2606-06</t>
        </is>
      </c>
      <c r="G32" s="115" t="n">
        <v>3625</v>
      </c>
    </row>
    <row r="33">
      <c r="B33" s="113" t="n">
        <v>46174</v>
      </c>
      <c r="C33" s="114" t="inlineStr">
        <is>
          <t>Engineering lead</t>
        </is>
      </c>
      <c r="D33" s="114" t="inlineStr">
        <is>
          <t>Payroll allocation</t>
        </is>
      </c>
      <c r="E33" s="114" t="inlineStr">
        <is>
          <t>Jun 2026: 1 FTE at standard cost</t>
        </is>
      </c>
      <c r="F33" s="114" t="inlineStr">
        <is>
          <t>JNL-2606-07</t>
        </is>
      </c>
      <c r="G33" s="115" t="n">
        <v>16500</v>
      </c>
    </row>
    <row r="34">
      <c r="B34" s="113" t="n">
        <v>46174</v>
      </c>
      <c r="C34" s="114" t="inlineStr">
        <is>
          <t>Cloud hosting</t>
        </is>
      </c>
      <c r="D34" s="114" t="inlineStr">
        <is>
          <t>Cloud provider</t>
        </is>
      </c>
      <c r="E34" s="114" t="inlineStr">
        <is>
          <t>Jun 2026: Monthly usage invoice</t>
        </is>
      </c>
      <c r="F34" s="114" t="inlineStr">
        <is>
          <t>INV-2606-08</t>
        </is>
      </c>
      <c r="G34" s="115" t="n">
        <v>1260</v>
      </c>
    </row>
    <row r="35">
      <c r="B35" s="113" t="n">
        <v>46174</v>
      </c>
      <c r="C35" s="114" t="inlineStr">
        <is>
          <t>Software &amp; tools</t>
        </is>
      </c>
      <c r="D35" s="114" t="inlineStr">
        <is>
          <t>Tool subscriptions</t>
        </is>
      </c>
      <c r="E35" s="114" t="inlineStr">
        <is>
          <t>Jun 2026: Design, code, test and monitoring tools</t>
        </is>
      </c>
      <c r="F35" s="114" t="inlineStr">
        <is>
          <t>INV-2606-09</t>
        </is>
      </c>
      <c r="G35" s="115" t="n">
        <v>3200</v>
      </c>
    </row>
    <row r="36">
      <c r="B36" s="113" t="n">
        <v>46174</v>
      </c>
      <c r="C36" s="114" t="inlineStr">
        <is>
          <t>Third-party services</t>
        </is>
      </c>
      <c r="D36" s="114" t="inlineStr">
        <is>
          <t>API services</t>
        </is>
      </c>
      <c r="E36" s="114" t="inlineStr">
        <is>
          <t>Jun 2026: Maps, push notifications and text messages</t>
        </is>
      </c>
      <c r="F36" s="114" t="inlineStr">
        <is>
          <t>INV-2606-10</t>
        </is>
      </c>
      <c r="G36" s="115" t="n">
        <v>340</v>
      </c>
    </row>
    <row r="37">
      <c r="B37" s="113" t="n">
        <v>46204</v>
      </c>
      <c r="C37" s="114" t="inlineStr">
        <is>
          <t>Product management</t>
        </is>
      </c>
      <c r="D37" s="114" t="inlineStr">
        <is>
          <t>Payroll allocation</t>
        </is>
      </c>
      <c r="E37" s="114" t="inlineStr">
        <is>
          <t>Jul 2026: 1 FTE at standard cost</t>
        </is>
      </c>
      <c r="F37" s="114" t="inlineStr">
        <is>
          <t>JNL-2607-01</t>
        </is>
      </c>
      <c r="G37" s="115" t="n">
        <v>14500</v>
      </c>
    </row>
    <row r="38">
      <c r="B38" s="113" t="n">
        <v>46204</v>
      </c>
      <c r="C38" s="114" t="inlineStr">
        <is>
          <t>Product design</t>
        </is>
      </c>
      <c r="D38" s="114" t="inlineStr">
        <is>
          <t>Payroll allocation</t>
        </is>
      </c>
      <c r="E38" s="114" t="inlineStr">
        <is>
          <t>Jul 2026: 0.75 FTE at standard cost</t>
        </is>
      </c>
      <c r="F38" s="114" t="inlineStr">
        <is>
          <t>JNL-2607-02</t>
        </is>
      </c>
      <c r="G38" s="115" t="n">
        <v>9375</v>
      </c>
    </row>
    <row r="39">
      <c r="B39" s="113" t="n">
        <v>46204</v>
      </c>
      <c r="C39" s="114" t="inlineStr">
        <is>
          <t>iOS development</t>
        </is>
      </c>
      <c r="D39" s="114" t="inlineStr">
        <is>
          <t>Brightlane Studio</t>
        </is>
      </c>
      <c r="E39" s="114" t="inlineStr">
        <is>
          <t>Jul 2026: 35 days at $780</t>
        </is>
      </c>
      <c r="F39" s="114" t="inlineStr">
        <is>
          <t>INV-2607-03</t>
        </is>
      </c>
      <c r="G39" s="115" t="n">
        <v>27300</v>
      </c>
    </row>
    <row r="40">
      <c r="B40" s="113" t="n">
        <v>46204</v>
      </c>
      <c r="C40" s="114" t="inlineStr">
        <is>
          <t>Android development</t>
        </is>
      </c>
      <c r="D40" s="114" t="inlineStr">
        <is>
          <t>Parallel Apps</t>
        </is>
      </c>
      <c r="E40" s="114" t="inlineStr">
        <is>
          <t>Jul 2026: 36 days at $760</t>
        </is>
      </c>
      <c r="F40" s="114" t="inlineStr">
        <is>
          <t>INV-2607-04</t>
        </is>
      </c>
      <c r="G40" s="115" t="n">
        <v>27360</v>
      </c>
    </row>
    <row r="41">
      <c r="B41" s="113" t="n">
        <v>46204</v>
      </c>
      <c r="C41" s="114" t="inlineStr">
        <is>
          <t>Backend &amp; integrations</t>
        </is>
      </c>
      <c r="D41" s="114" t="inlineStr">
        <is>
          <t>Payroll allocation</t>
        </is>
      </c>
      <c r="E41" s="114" t="inlineStr">
        <is>
          <t>Jul 2026: 3 FTE at standard cost</t>
        </is>
      </c>
      <c r="F41" s="114" t="inlineStr">
        <is>
          <t>JNL-2607-05</t>
        </is>
      </c>
      <c r="G41" s="115" t="n">
        <v>42000</v>
      </c>
    </row>
    <row r="42">
      <c r="B42" s="113" t="n">
        <v>46204</v>
      </c>
      <c r="C42" s="114" t="inlineStr">
        <is>
          <t>Quality assurance</t>
        </is>
      </c>
      <c r="D42" s="114" t="inlineStr">
        <is>
          <t>TestHarbor</t>
        </is>
      </c>
      <c r="E42" s="114" t="inlineStr">
        <is>
          <t>Jul 2026: 27 days at $560</t>
        </is>
      </c>
      <c r="F42" s="114" t="inlineStr">
        <is>
          <t>INV-2607-06</t>
        </is>
      </c>
      <c r="G42" s="115" t="n">
        <v>15120</v>
      </c>
    </row>
    <row r="43">
      <c r="B43" s="113" t="n">
        <v>46204</v>
      </c>
      <c r="C43" s="114" t="inlineStr">
        <is>
          <t>Cloud &amp; DevOps</t>
        </is>
      </c>
      <c r="D43" s="114" t="inlineStr">
        <is>
          <t>Payroll allocation</t>
        </is>
      </c>
      <c r="E43" s="114" t="inlineStr">
        <is>
          <t>Jul 2026: 0.5 FTE at standard cost</t>
        </is>
      </c>
      <c r="F43" s="114" t="inlineStr">
        <is>
          <t>JNL-2607-07</t>
        </is>
      </c>
      <c r="G43" s="115" t="n">
        <v>7250</v>
      </c>
    </row>
    <row r="44">
      <c r="B44" s="113" t="n">
        <v>46204</v>
      </c>
      <c r="C44" s="114" t="inlineStr">
        <is>
          <t>Engineering lead</t>
        </is>
      </c>
      <c r="D44" s="114" t="inlineStr">
        <is>
          <t>Payroll allocation</t>
        </is>
      </c>
      <c r="E44" s="114" t="inlineStr">
        <is>
          <t>Jul 2026: 1 FTE at standard cost</t>
        </is>
      </c>
      <c r="F44" s="114" t="inlineStr">
        <is>
          <t>JNL-2607-08</t>
        </is>
      </c>
      <c r="G44" s="115" t="n">
        <v>16500</v>
      </c>
    </row>
    <row r="45">
      <c r="B45" s="113" t="n">
        <v>46204</v>
      </c>
      <c r="C45" s="114" t="inlineStr">
        <is>
          <t>Cloud hosting</t>
        </is>
      </c>
      <c r="D45" s="114" t="inlineStr">
        <is>
          <t>Cloud provider</t>
        </is>
      </c>
      <c r="E45" s="114" t="inlineStr">
        <is>
          <t>Jul 2026: Monthly usage invoice</t>
        </is>
      </c>
      <c r="F45" s="114" t="inlineStr">
        <is>
          <t>INV-2607-09</t>
        </is>
      </c>
      <c r="G45" s="115" t="n">
        <v>6120</v>
      </c>
    </row>
    <row r="46">
      <c r="B46" s="113" t="n">
        <v>46204</v>
      </c>
      <c r="C46" s="114" t="inlineStr">
        <is>
          <t>Software &amp; tools</t>
        </is>
      </c>
      <c r="D46" s="114" t="inlineStr">
        <is>
          <t>Tool subscriptions</t>
        </is>
      </c>
      <c r="E46" s="114" t="inlineStr">
        <is>
          <t>Jul 2026: Design, code, test and monitoring tools</t>
        </is>
      </c>
      <c r="F46" s="114" t="inlineStr">
        <is>
          <t>INV-2607-10</t>
        </is>
      </c>
      <c r="G46" s="115" t="n">
        <v>5400</v>
      </c>
    </row>
    <row r="47">
      <c r="B47" s="113" t="n">
        <v>46204</v>
      </c>
      <c r="C47" s="114" t="inlineStr">
        <is>
          <t>Third-party services</t>
        </is>
      </c>
      <c r="D47" s="114" t="inlineStr">
        <is>
          <t>API services</t>
        </is>
      </c>
      <c r="E47" s="114" t="inlineStr">
        <is>
          <t>Jul 2026: Maps, push notifications and text messages</t>
        </is>
      </c>
      <c r="F47" s="114" t="inlineStr">
        <is>
          <t>INV-2607-11</t>
        </is>
      </c>
      <c r="G47" s="115" t="n">
        <v>1450</v>
      </c>
    </row>
    <row r="48">
      <c r="B48" s="113" t="n">
        <v>46204</v>
      </c>
      <c r="C48" s="114" t="inlineStr">
        <is>
          <t>Test devices</t>
        </is>
      </c>
      <c r="D48" s="114" t="inlineStr">
        <is>
          <t>Gadget Depot</t>
        </is>
      </c>
      <c r="E48" s="114" t="inlineStr">
        <is>
          <t>Device lab: 24 phones and tablets</t>
        </is>
      </c>
      <c r="F48" s="114" t="inlineStr">
        <is>
          <t>INV-2607-12</t>
        </is>
      </c>
      <c r="G48" s="115" t="n">
        <v>17240</v>
      </c>
    </row>
    <row r="49">
      <c r="B49" s="113" t="n">
        <v>46235</v>
      </c>
      <c r="C49" s="114" t="inlineStr">
        <is>
          <t>Product management</t>
        </is>
      </c>
      <c r="D49" s="114" t="inlineStr">
        <is>
          <t>Payroll allocation</t>
        </is>
      </c>
      <c r="E49" s="114" t="inlineStr">
        <is>
          <t>Aug 2026: 1 FTE at standard cost</t>
        </is>
      </c>
      <c r="F49" s="114" t="inlineStr">
        <is>
          <t>JNL-2608-01</t>
        </is>
      </c>
      <c r="G49" s="115" t="n">
        <v>14500</v>
      </c>
    </row>
    <row r="50">
      <c r="B50" s="113" t="n">
        <v>46235</v>
      </c>
      <c r="C50" s="114" t="inlineStr">
        <is>
          <t>Product design</t>
        </is>
      </c>
      <c r="D50" s="114" t="inlineStr">
        <is>
          <t>Payroll allocation</t>
        </is>
      </c>
      <c r="E50" s="114" t="inlineStr">
        <is>
          <t>Aug 2026: 0.75 FTE at standard cost</t>
        </is>
      </c>
      <c r="F50" s="114" t="inlineStr">
        <is>
          <t>JNL-2608-02</t>
        </is>
      </c>
      <c r="G50" s="115" t="n">
        <v>9375</v>
      </c>
    </row>
    <row r="51">
      <c r="B51" s="113" t="n">
        <v>46235</v>
      </c>
      <c r="C51" s="114" t="inlineStr">
        <is>
          <t>iOS development</t>
        </is>
      </c>
      <c r="D51" s="114" t="inlineStr">
        <is>
          <t>Brightlane Studio</t>
        </is>
      </c>
      <c r="E51" s="114" t="inlineStr">
        <is>
          <t>Aug 2026: 36 days at $780</t>
        </is>
      </c>
      <c r="F51" s="114" t="inlineStr">
        <is>
          <t>INV-2608-03</t>
        </is>
      </c>
      <c r="G51" s="115" t="n">
        <v>28080</v>
      </c>
    </row>
    <row r="52">
      <c r="B52" s="113" t="n">
        <v>46235</v>
      </c>
      <c r="C52" s="114" t="inlineStr">
        <is>
          <t>Android development</t>
        </is>
      </c>
      <c r="D52" s="114" t="inlineStr">
        <is>
          <t>Parallel Apps</t>
        </is>
      </c>
      <c r="E52" s="114" t="inlineStr">
        <is>
          <t>Aug 2026: 45 days at $760</t>
        </is>
      </c>
      <c r="F52" s="114" t="inlineStr">
        <is>
          <t>INV-2608-04</t>
        </is>
      </c>
      <c r="G52" s="115" t="n">
        <v>34200</v>
      </c>
    </row>
    <row r="53">
      <c r="B53" s="113" t="n">
        <v>46235</v>
      </c>
      <c r="C53" s="114" t="inlineStr">
        <is>
          <t>Backend &amp; integrations</t>
        </is>
      </c>
      <c r="D53" s="114" t="inlineStr">
        <is>
          <t>Payroll allocation</t>
        </is>
      </c>
      <c r="E53" s="114" t="inlineStr">
        <is>
          <t>Aug 2026: 3 FTE at standard cost</t>
        </is>
      </c>
      <c r="F53" s="114" t="inlineStr">
        <is>
          <t>JNL-2608-05</t>
        </is>
      </c>
      <c r="G53" s="115" t="n">
        <v>42000</v>
      </c>
    </row>
    <row r="54">
      <c r="B54" s="113" t="n">
        <v>46235</v>
      </c>
      <c r="C54" s="114" t="inlineStr">
        <is>
          <t>Quality assurance</t>
        </is>
      </c>
      <c r="D54" s="114" t="inlineStr">
        <is>
          <t>TestHarbor</t>
        </is>
      </c>
      <c r="E54" s="114" t="inlineStr">
        <is>
          <t>Aug 2026: 30 days at $560</t>
        </is>
      </c>
      <c r="F54" s="114" t="inlineStr">
        <is>
          <t>INV-2608-06</t>
        </is>
      </c>
      <c r="G54" s="115" t="n">
        <v>16800</v>
      </c>
    </row>
    <row r="55">
      <c r="B55" s="113" t="n">
        <v>46235</v>
      </c>
      <c r="C55" s="114" t="inlineStr">
        <is>
          <t>Cloud &amp; DevOps</t>
        </is>
      </c>
      <c r="D55" s="114" t="inlineStr">
        <is>
          <t>Payroll allocation</t>
        </is>
      </c>
      <c r="E55" s="114" t="inlineStr">
        <is>
          <t>Aug 2026: 0.5 FTE at standard cost</t>
        </is>
      </c>
      <c r="F55" s="114" t="inlineStr">
        <is>
          <t>JNL-2608-07</t>
        </is>
      </c>
      <c r="G55" s="115" t="n">
        <v>7250</v>
      </c>
    </row>
    <row r="56">
      <c r="B56" s="113" t="n">
        <v>46235</v>
      </c>
      <c r="C56" s="114" t="inlineStr">
        <is>
          <t>Engineering lead</t>
        </is>
      </c>
      <c r="D56" s="114" t="inlineStr">
        <is>
          <t>Payroll allocation</t>
        </is>
      </c>
      <c r="E56" s="114" t="inlineStr">
        <is>
          <t>Aug 2026: 1 FTE at standard cost</t>
        </is>
      </c>
      <c r="F56" s="114" t="inlineStr">
        <is>
          <t>JNL-2608-08</t>
        </is>
      </c>
      <c r="G56" s="115" t="n">
        <v>16500</v>
      </c>
    </row>
    <row r="57">
      <c r="B57" s="113" t="n">
        <v>46235</v>
      </c>
      <c r="C57" s="114" t="inlineStr">
        <is>
          <t>Cloud hosting</t>
        </is>
      </c>
      <c r="D57" s="114" t="inlineStr">
        <is>
          <t>Cloud provider</t>
        </is>
      </c>
      <c r="E57" s="114" t="inlineStr">
        <is>
          <t>Aug 2026: Monthly usage invoice</t>
        </is>
      </c>
      <c r="F57" s="114" t="inlineStr">
        <is>
          <t>INV-2608-09</t>
        </is>
      </c>
      <c r="G57" s="115" t="n">
        <v>6940</v>
      </c>
    </row>
    <row r="58">
      <c r="B58" s="113" t="n">
        <v>46235</v>
      </c>
      <c r="C58" s="114" t="inlineStr">
        <is>
          <t>Software &amp; tools</t>
        </is>
      </c>
      <c r="D58" s="114" t="inlineStr">
        <is>
          <t>Tool subscriptions</t>
        </is>
      </c>
      <c r="E58" s="114" t="inlineStr">
        <is>
          <t>Aug 2026: Design, code, test and monitoring tools</t>
        </is>
      </c>
      <c r="F58" s="114" t="inlineStr">
        <is>
          <t>INV-2608-10</t>
        </is>
      </c>
      <c r="G58" s="115" t="n">
        <v>5400</v>
      </c>
    </row>
    <row r="59">
      <c r="B59" s="113" t="n">
        <v>46235</v>
      </c>
      <c r="C59" s="114" t="inlineStr">
        <is>
          <t>Third-party services</t>
        </is>
      </c>
      <c r="D59" s="114" t="inlineStr">
        <is>
          <t>API services</t>
        </is>
      </c>
      <c r="E59" s="114" t="inlineStr">
        <is>
          <t>Aug 2026: Maps, push notifications and text messages</t>
        </is>
      </c>
      <c r="F59" s="114" t="inlineStr">
        <is>
          <t>INV-2608-11</t>
        </is>
      </c>
      <c r="G59" s="115" t="n">
        <v>1920</v>
      </c>
    </row>
    <row r="60">
      <c r="B60" s="113" t="n">
        <v>46235</v>
      </c>
      <c r="C60" s="114" t="inlineStr">
        <is>
          <t>Software &amp; tools</t>
        </is>
      </c>
      <c r="D60" s="114" t="inlineStr">
        <is>
          <t>Tool subscriptions</t>
        </is>
      </c>
      <c r="E60" s="114" t="inlineStr">
        <is>
          <t>Credit note: two unused design seats</t>
        </is>
      </c>
      <c r="F60" s="114" t="inlineStr">
        <is>
          <t>CRN-2608-01</t>
        </is>
      </c>
      <c r="G60" s="115" t="n">
        <v>-480</v>
      </c>
    </row>
    <row r="61">
      <c r="B61" s="113" t="n">
        <v>46266</v>
      </c>
      <c r="C61" s="114" t="inlineStr">
        <is>
          <t>Product management</t>
        </is>
      </c>
      <c r="D61" s="114" t="inlineStr">
        <is>
          <t>Payroll allocation</t>
        </is>
      </c>
      <c r="E61" s="114" t="inlineStr">
        <is>
          <t>Sep 2026: 1 FTE at standard cost</t>
        </is>
      </c>
      <c r="F61" s="114" t="inlineStr">
        <is>
          <t>JNL-2609-01</t>
        </is>
      </c>
      <c r="G61" s="115" t="n">
        <v>14500</v>
      </c>
    </row>
    <row r="62">
      <c r="B62" s="113" t="n">
        <v>46266</v>
      </c>
      <c r="C62" s="114" t="inlineStr">
        <is>
          <t>Product design</t>
        </is>
      </c>
      <c r="D62" s="114" t="inlineStr">
        <is>
          <t>Payroll allocation</t>
        </is>
      </c>
      <c r="E62" s="114" t="inlineStr">
        <is>
          <t>Sep 2026: 0.75 FTE at standard cost</t>
        </is>
      </c>
      <c r="F62" s="114" t="inlineStr">
        <is>
          <t>JNL-2609-02</t>
        </is>
      </c>
      <c r="G62" s="115" t="n">
        <v>9375</v>
      </c>
    </row>
    <row r="63">
      <c r="B63" s="113" t="n">
        <v>46266</v>
      </c>
      <c r="C63" s="114" t="inlineStr">
        <is>
          <t>iOS development</t>
        </is>
      </c>
      <c r="D63" s="114" t="inlineStr">
        <is>
          <t>Brightlane Studio</t>
        </is>
      </c>
      <c r="E63" s="114" t="inlineStr">
        <is>
          <t>Accrual: Sep 2026 work, 37 days at $780, invoice not yet received</t>
        </is>
      </c>
      <c r="F63" s="114" t="inlineStr">
        <is>
          <t>ACC-2609-01</t>
        </is>
      </c>
      <c r="G63" s="115" t="n">
        <v>28860</v>
      </c>
    </row>
    <row r="64">
      <c r="B64" s="113" t="n">
        <v>46266</v>
      </c>
      <c r="C64" s="114" t="inlineStr">
        <is>
          <t>Android development</t>
        </is>
      </c>
      <c r="D64" s="114" t="inlineStr">
        <is>
          <t>Parallel Apps</t>
        </is>
      </c>
      <c r="E64" s="114" t="inlineStr">
        <is>
          <t>Sep 2026: 45 days at $760</t>
        </is>
      </c>
      <c r="F64" s="114" t="inlineStr">
        <is>
          <t>INV-2609-04</t>
        </is>
      </c>
      <c r="G64" s="115" t="n">
        <v>34200</v>
      </c>
    </row>
    <row r="65">
      <c r="B65" s="113" t="n">
        <v>46266</v>
      </c>
      <c r="C65" s="114" t="inlineStr">
        <is>
          <t>Backend &amp; integrations</t>
        </is>
      </c>
      <c r="D65" s="114" t="inlineStr">
        <is>
          <t>Payroll allocation</t>
        </is>
      </c>
      <c r="E65" s="114" t="inlineStr">
        <is>
          <t>Sep 2026: 3 FTE at standard cost</t>
        </is>
      </c>
      <c r="F65" s="114" t="inlineStr">
        <is>
          <t>JNL-2609-05</t>
        </is>
      </c>
      <c r="G65" s="115" t="n">
        <v>42000</v>
      </c>
    </row>
    <row r="66">
      <c r="B66" s="113" t="n">
        <v>46266</v>
      </c>
      <c r="C66" s="114" t="inlineStr">
        <is>
          <t>Quality assurance</t>
        </is>
      </c>
      <c r="D66" s="114" t="inlineStr">
        <is>
          <t>TestHarbor</t>
        </is>
      </c>
      <c r="E66" s="114" t="inlineStr">
        <is>
          <t>Sep 2026: 36 days at $560</t>
        </is>
      </c>
      <c r="F66" s="114" t="inlineStr">
        <is>
          <t>INV-2609-06</t>
        </is>
      </c>
      <c r="G66" s="115" t="n">
        <v>20160</v>
      </c>
    </row>
    <row r="67">
      <c r="B67" s="113" t="n">
        <v>46266</v>
      </c>
      <c r="C67" s="114" t="inlineStr">
        <is>
          <t>Cloud &amp; DevOps</t>
        </is>
      </c>
      <c r="D67" s="114" t="inlineStr">
        <is>
          <t>Payroll allocation</t>
        </is>
      </c>
      <c r="E67" s="114" t="inlineStr">
        <is>
          <t>Sep 2026: 0.75 FTE at standard cost</t>
        </is>
      </c>
      <c r="F67" s="114" t="inlineStr">
        <is>
          <t>JNL-2609-07</t>
        </is>
      </c>
      <c r="G67" s="115" t="n">
        <v>10875</v>
      </c>
    </row>
    <row r="68">
      <c r="B68" s="113" t="n">
        <v>46266</v>
      </c>
      <c r="C68" s="114" t="inlineStr">
        <is>
          <t>Engineering lead</t>
        </is>
      </c>
      <c r="D68" s="114" t="inlineStr">
        <is>
          <t>Payroll allocation</t>
        </is>
      </c>
      <c r="E68" s="114" t="inlineStr">
        <is>
          <t>Sep 2026: 1 FTE at standard cost</t>
        </is>
      </c>
      <c r="F68" s="114" t="inlineStr">
        <is>
          <t>JNL-2609-08</t>
        </is>
      </c>
      <c r="G68" s="115" t="n">
        <v>16500</v>
      </c>
    </row>
    <row r="69">
      <c r="B69" s="113" t="n">
        <v>46266</v>
      </c>
      <c r="C69" s="114" t="inlineStr">
        <is>
          <t>Cloud hosting</t>
        </is>
      </c>
      <c r="D69" s="114" t="inlineStr">
        <is>
          <t>Cloud provider</t>
        </is>
      </c>
      <c r="E69" s="114" t="inlineStr">
        <is>
          <t>Sep 2026: Monthly usage invoice</t>
        </is>
      </c>
      <c r="F69" s="114" t="inlineStr">
        <is>
          <t>INV-2609-09</t>
        </is>
      </c>
      <c r="G69" s="115" t="n">
        <v>9860</v>
      </c>
    </row>
    <row r="70">
      <c r="B70" s="113" t="n">
        <v>46266</v>
      </c>
      <c r="C70" s="114" t="inlineStr">
        <is>
          <t>Software &amp; tools</t>
        </is>
      </c>
      <c r="D70" s="114" t="inlineStr">
        <is>
          <t>Tool subscriptions</t>
        </is>
      </c>
      <c r="E70" s="114" t="inlineStr">
        <is>
          <t>Sep 2026: Design, code, test and monitoring tools</t>
        </is>
      </c>
      <c r="F70" s="114" t="inlineStr">
        <is>
          <t>INV-2609-10</t>
        </is>
      </c>
      <c r="G70" s="115" t="n">
        <v>5100</v>
      </c>
    </row>
    <row r="71">
      <c r="B71" s="113" t="n">
        <v>46266</v>
      </c>
      <c r="C71" s="114" t="inlineStr">
        <is>
          <t>Third-party services</t>
        </is>
      </c>
      <c r="D71" s="114" t="inlineStr">
        <is>
          <t>API services</t>
        </is>
      </c>
      <c r="E71" s="114" t="inlineStr">
        <is>
          <t>Sep 2026: Maps, push notifications and text messages</t>
        </is>
      </c>
      <c r="F71" s="114" t="inlineStr">
        <is>
          <t>INV-2609-11</t>
        </is>
      </c>
      <c r="G71" s="115" t="n">
        <v>2310</v>
      </c>
    </row>
    <row r="72">
      <c r="B72" s="113" t="n">
        <v>46266</v>
      </c>
      <c r="C72" s="114" t="inlineStr">
        <is>
          <t>Payment certification</t>
        </is>
      </c>
      <c r="D72" s="114" t="inlineStr">
        <is>
          <t>Payment provider</t>
        </is>
      </c>
      <c r="E72" s="114" t="inlineStr">
        <is>
          <t>Card-payment compliance review</t>
        </is>
      </c>
      <c r="F72" s="114" t="inlineStr">
        <is>
          <t>INV-2609-12</t>
        </is>
      </c>
      <c r="G72" s="115" t="n">
        <v>11200</v>
      </c>
    </row>
  </sheetData>
  <conditionalFormatting sqref="B9:G72">
    <cfRule type="expression" priority="1" dxfId="13" stopIfTrue="0">
      <formula>$B9&gt;$G$5</formula>
    </cfRule>
  </conditionalFormatting>
  <dataValidations count="1">
    <dataValidation sqref="C9:C272" showDropDown="0" showInputMessage="1" showErrorMessage="0" allowBlank="0" promptTitle="Cost line" prompt="Must be one of the cost lines on Inputs." type="list">
      <formula1>=Inputs!$B$41:$B$57</formula1>
    </dataValidation>
  </dataValidations>
  <printOptions horizontalCentered="1"/>
  <pageMargins left="0.45" right="0.45" top="0.6" bottom="0.6" header="0.5" footer="0.5"/>
  <pageSetup orientation="portrait"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8C97A3"/>
    <outlinePr summaryBelow="1" summaryRight="1"/>
    <pageSetUpPr fitToPage="1"/>
  </sheetPr>
  <dimension ref="B2:T206"/>
  <sheetViews>
    <sheetView showGridLines="0" zoomScale="100" workbookViewId="0">
      <pane xSplit="5" ySplit="6" topLeftCell="F7" activePane="bottomRight" state="frozen"/>
      <selection pane="topRight" activeCell="A1" sqref="A1"/>
      <selection pane="bottomLeft"/>
      <selection pane="bottomRight" activeCell="A1" sqref="A1"/>
    </sheetView>
  </sheetViews>
  <sheetFormatPr baseColWidth="8" defaultRowHeight="15" customHeight="1"/>
  <cols>
    <col width="2.5" customWidth="1" min="1" max="1"/>
    <col width="36" customWidth="1" min="2" max="2"/>
    <col width="20" customWidth="1" min="3" max="3"/>
    <col width="13" customWidth="1" min="4" max="4"/>
    <col width="2.5"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s>
  <sheetData>
    <row r="1" ht="10" customHeight="1"/>
    <row r="2" ht="30" customHeight="1">
      <c r="B2" s="49" t="inlineStr">
        <is>
          <t>Calc</t>
        </is>
      </c>
    </row>
    <row r="3" ht="18" customHeight="1">
      <c r="B3" s="24" t="inlineStr">
        <is>
          <t>How the numbers are made, month by month. Formulas only: nothing to type here.</t>
        </is>
      </c>
    </row>
    <row r="4">
      <c r="B4" s="27" t="inlineStr">
        <is>
          <t>Month number</t>
        </is>
      </c>
      <c r="F4" s="47" t="n">
        <v>1</v>
      </c>
      <c r="G4" s="47">
        <f>F4+1</f>
        <v>2</v>
      </c>
      <c r="H4" s="47">
        <f>G4+1</f>
        <v>3</v>
      </c>
      <c r="I4" s="47">
        <f>H4+1</f>
        <v>4</v>
      </c>
      <c r="J4" s="47">
        <f>I4+1</f>
        <v>5</v>
      </c>
      <c r="K4" s="47">
        <f>J4+1</f>
        <v>6</v>
      </c>
      <c r="L4" s="47">
        <f>K4+1</f>
        <v>7</v>
      </c>
      <c r="M4" s="47">
        <f>L4+1</f>
        <v>8</v>
      </c>
      <c r="N4" s="47">
        <f>M4+1</f>
        <v>9</v>
      </c>
      <c r="O4" s="47">
        <f>N4+1</f>
        <v>10</v>
      </c>
      <c r="P4" s="47">
        <f>O4+1</f>
        <v>11</v>
      </c>
      <c r="Q4" s="47">
        <f>P4+1</f>
        <v>12</v>
      </c>
      <c r="R4" s="47">
        <f>Q4+1</f>
        <v>13</v>
      </c>
      <c r="S4" s="47">
        <f>R4+1</f>
        <v>14</v>
      </c>
      <c r="T4" s="47">
        <f>S4+1</f>
        <v>15</v>
      </c>
    </row>
    <row r="5" ht="18" customHeight="1">
      <c r="B5" s="70" t="inlineStr">
        <is>
          <t>Month</t>
        </is>
      </c>
      <c r="D5" s="71" t="inlineStr">
        <is>
          <t>Total</t>
        </is>
      </c>
      <c r="F5" s="116">
        <f>StartMonth</f>
        <v>46113</v>
      </c>
      <c r="G5" s="72">
        <f>EDATE(F5,1)</f>
        <v>46143</v>
      </c>
      <c r="H5" s="72">
        <f>EDATE(G5,1)</f>
        <v>46174</v>
      </c>
      <c r="I5" s="72">
        <f>EDATE(H5,1)</f>
        <v>46204</v>
      </c>
      <c r="J5" s="72">
        <f>EDATE(I5,1)</f>
        <v>46235</v>
      </c>
      <c r="K5" s="72">
        <f>EDATE(J5,1)</f>
        <v>46266</v>
      </c>
      <c r="L5" s="72">
        <f>EDATE(K5,1)</f>
        <v>46296</v>
      </c>
      <c r="M5" s="72">
        <f>EDATE(L5,1)</f>
        <v>46327</v>
      </c>
      <c r="N5" s="72">
        <f>EDATE(M5,1)</f>
        <v>46357</v>
      </c>
      <c r="O5" s="72">
        <f>EDATE(N5,1)</f>
        <v>46388</v>
      </c>
      <c r="P5" s="72">
        <f>EDATE(O5,1)</f>
        <v>46419</v>
      </c>
      <c r="Q5" s="72">
        <f>EDATE(P5,1)</f>
        <v>46447</v>
      </c>
      <c r="R5" s="72">
        <f>EDATE(Q5,1)</f>
        <v>46478</v>
      </c>
      <c r="S5" s="72">
        <f>EDATE(R5,1)</f>
        <v>46508</v>
      </c>
      <c r="T5" s="72">
        <f>EDATE(S5,1)</f>
        <v>46539</v>
      </c>
    </row>
    <row r="6">
      <c r="B6" s="117" t="inlineStr">
        <is>
          <t>Actual or forecast</t>
        </is>
      </c>
      <c r="C6" s="73" t="n"/>
      <c r="D6" s="73" t="n"/>
      <c r="F6" s="74" t="str">
        <f>IF(F$5&lt;=ActualsThrough,"Actual","Forecast")</f>
        <v>Actual</v>
      </c>
      <c r="G6" s="74" t="str">
        <f>IF(G$5&lt;=ActualsThrough,"Actual","Forecast")</f>
        <v>Actual</v>
      </c>
      <c r="H6" s="74" t="str">
        <f>IF(H$5&lt;=ActualsThrough,"Actual","Forecast")</f>
        <v>Actual</v>
      </c>
      <c r="I6" s="74" t="str">
        <f>IF(I$5&lt;=ActualsThrough,"Actual","Forecast")</f>
        <v>Actual</v>
      </c>
      <c r="J6" s="74" t="str">
        <f>IF(J$5&lt;=ActualsThrough,"Actual","Forecast")</f>
        <v>Actual</v>
      </c>
      <c r="K6" s="74" t="str">
        <f>IF(K$5&lt;=ActualsThrough,"Actual","Forecast")</f>
        <v>Actual</v>
      </c>
      <c r="L6" s="74" t="str">
        <f>IF(L$5&lt;=ActualsThrough,"Actual","Forecast")</f>
        <v>Forecast</v>
      </c>
      <c r="M6" s="74" t="str">
        <f>IF(M$5&lt;=ActualsThrough,"Actual","Forecast")</f>
        <v>Forecast</v>
      </c>
      <c r="N6" s="74" t="str">
        <f>IF(N$5&lt;=ActualsThrough,"Actual","Forecast")</f>
        <v>Forecast</v>
      </c>
      <c r="O6" s="74" t="str">
        <f>IF(O$5&lt;=ActualsThrough,"Actual","Forecast")</f>
        <v>Forecast</v>
      </c>
      <c r="P6" s="74" t="str">
        <f>IF(P$5&lt;=ActualsThrough,"Actual","Forecast")</f>
        <v>Forecast</v>
      </c>
      <c r="Q6" s="74" t="str">
        <f>IF(Q$5&lt;=ActualsThrough,"Actual","Forecast")</f>
        <v>Forecast</v>
      </c>
      <c r="R6" s="74" t="str">
        <f>IF(R$5&lt;=ActualsThrough,"Actual","Forecast")</f>
        <v>Forecast</v>
      </c>
      <c r="S6" s="74" t="str">
        <f>IF(S$5&lt;=ActualsThrough,"Actual","Forecast")</f>
        <v>Forecast</v>
      </c>
      <c r="T6" s="74" t="str">
        <f>IF(T$5&lt;=ActualsThrough,"Actual","Forecast")</f>
        <v>Forecast</v>
      </c>
    </row>
    <row r="7"/>
    <row r="8">
      <c r="B8" s="13" t="inlineStr">
        <is>
          <t>Closed month (1 = actuals)</t>
        </is>
      </c>
      <c r="C8" s="14" t="inlineStr">
        <is>
          <t>flag</t>
        </is>
      </c>
      <c r="D8" s="6" t="n"/>
      <c r="E8" s="6" t="n"/>
      <c r="F8" s="86">
        <f>IF(F$5&lt;=ActualsThrough,1,0)</f>
        <v>1</v>
      </c>
      <c r="G8" s="86">
        <f>IF(G$5&lt;=ActualsThrough,1,0)</f>
        <v>1</v>
      </c>
      <c r="H8" s="86">
        <f>IF(H$5&lt;=ActualsThrough,1,0)</f>
        <v>1</v>
      </c>
      <c r="I8" s="86">
        <f>IF(I$5&lt;=ActualsThrough,1,0)</f>
        <v>1</v>
      </c>
      <c r="J8" s="86">
        <f>IF(J$5&lt;=ActualsThrough,1,0)</f>
        <v>1</v>
      </c>
      <c r="K8" s="86">
        <f>IF(K$5&lt;=ActualsThrough,1,0)</f>
        <v>1</v>
      </c>
      <c r="L8" s="86">
        <f>IF(L$5&lt;=ActualsThrough,1,0)</f>
        <v>0</v>
      </c>
      <c r="M8" s="86">
        <f>IF(M$5&lt;=ActualsThrough,1,0)</f>
        <v>0</v>
      </c>
      <c r="N8" s="86">
        <f>IF(N$5&lt;=ActualsThrough,1,0)</f>
        <v>0</v>
      </c>
      <c r="O8" s="86">
        <f>IF(O$5&lt;=ActualsThrough,1,0)</f>
        <v>0</v>
      </c>
      <c r="P8" s="86">
        <f>IF(P$5&lt;=ActualsThrough,1,0)</f>
        <v>0</v>
      </c>
      <c r="Q8" s="86">
        <f>IF(Q$5&lt;=ActualsThrough,1,0)</f>
        <v>0</v>
      </c>
      <c r="R8" s="86">
        <f>IF(R$5&lt;=ActualsThrough,1,0)</f>
        <v>0</v>
      </c>
      <c r="S8" s="86">
        <f>IF(S$5&lt;=ActualsThrough,1,0)</f>
        <v>0</v>
      </c>
      <c r="T8" s="86">
        <f>IF(T$5&lt;=ActualsThrough,1,0)</f>
        <v>0</v>
      </c>
    </row>
    <row r="9">
      <c r="B9" s="13" t="inlineStr">
        <is>
          <t>Baseline phase number</t>
        </is>
      </c>
      <c r="C9" s="14" t="inlineStr">
        <is>
          <t>phase</t>
        </is>
      </c>
      <c r="D9" s="6" t="n"/>
      <c r="E9" s="6" t="n"/>
      <c r="F9" s="86">
        <f>IF(F$4&gt;BaseEnd,0,COUNTIF(BaseStarts,"&lt;="&amp;F$4))</f>
        <v>1</v>
      </c>
      <c r="G9" s="86">
        <f>IF(G$4&gt;BaseEnd,0,COUNTIF(BaseStarts,"&lt;="&amp;G$4))</f>
        <v>2</v>
      </c>
      <c r="H9" s="86">
        <f>IF(H$4&gt;BaseEnd,0,COUNTIF(BaseStarts,"&lt;="&amp;H$4))</f>
        <v>2</v>
      </c>
      <c r="I9" s="86">
        <f>IF(I$4&gt;BaseEnd,0,COUNTIF(BaseStarts,"&lt;="&amp;I$4))</f>
        <v>3</v>
      </c>
      <c r="J9" s="86">
        <f>IF(J$4&gt;BaseEnd,0,COUNTIF(BaseStarts,"&lt;="&amp;J$4))</f>
        <v>3</v>
      </c>
      <c r="K9" s="86">
        <f>IF(K$4&gt;BaseEnd,0,COUNTIF(BaseStarts,"&lt;="&amp;K$4))</f>
        <v>3</v>
      </c>
      <c r="L9" s="86">
        <f>IF(L$4&gt;BaseEnd,0,COUNTIF(BaseStarts,"&lt;="&amp;L$4))</f>
        <v>3</v>
      </c>
      <c r="M9" s="86">
        <f>IF(M$4&gt;BaseEnd,0,COUNTIF(BaseStarts,"&lt;="&amp;M$4))</f>
        <v>3</v>
      </c>
      <c r="N9" s="86">
        <f>IF(N$4&gt;BaseEnd,0,COUNTIF(BaseStarts,"&lt;="&amp;N$4))</f>
        <v>4</v>
      </c>
      <c r="O9" s="86">
        <f>IF(O$4&gt;BaseEnd,0,COUNTIF(BaseStarts,"&lt;="&amp;O$4))</f>
        <v>4</v>
      </c>
      <c r="P9" s="86">
        <f>IF(P$4&gt;BaseEnd,0,COUNTIF(BaseStarts,"&lt;="&amp;P$4))</f>
        <v>5</v>
      </c>
      <c r="Q9" s="86">
        <f>IF(Q$4&gt;BaseEnd,0,COUNTIF(BaseStarts,"&lt;="&amp;Q$4))</f>
        <v>5</v>
      </c>
      <c r="R9" s="86">
        <f>IF(R$4&gt;BaseEnd,0,COUNTIF(BaseStarts,"&lt;="&amp;R$4))</f>
        <v>0</v>
      </c>
      <c r="S9" s="86">
        <f>IF(S$4&gt;BaseEnd,0,COUNTIF(BaseStarts,"&lt;="&amp;S$4))</f>
        <v>0</v>
      </c>
      <c r="T9" s="86">
        <f>IF(T$4&gt;BaseEnd,0,COUNTIF(BaseStarts,"&lt;="&amp;T$4))</f>
        <v>0</v>
      </c>
    </row>
    <row r="10">
      <c r="B10" s="13" t="inlineStr">
        <is>
          <t>Baseline phase</t>
        </is>
      </c>
      <c r="C10" s="6" t="n"/>
      <c r="D10" s="6" t="n"/>
      <c r="E10" s="6" t="n"/>
      <c r="F10" s="118" t="str">
        <f>IF(F9=0,"–",INDEX(PhaseNames,F9))</f>
        <v>Discovery</v>
      </c>
      <c r="G10" s="118" t="str">
        <f>IF(G9=0,"–",INDEX(PhaseNames,G9))</f>
        <v>Design</v>
      </c>
      <c r="H10" s="118" t="str">
        <f>IF(H9=0,"–",INDEX(PhaseNames,H9))</f>
        <v>Design</v>
      </c>
      <c r="I10" s="118" t="str">
        <f>IF(I9=0,"–",INDEX(PhaseNames,I9))</f>
        <v>Build</v>
      </c>
      <c r="J10" s="118" t="str">
        <f>IF(J9=0,"–",INDEX(PhaseNames,J9))</f>
        <v>Build</v>
      </c>
      <c r="K10" s="118" t="str">
        <f>IF(K9=0,"–",INDEX(PhaseNames,K9))</f>
        <v>Build</v>
      </c>
      <c r="L10" s="118" t="str">
        <f>IF(L9=0,"–",INDEX(PhaseNames,L9))</f>
        <v>Build</v>
      </c>
      <c r="M10" s="118" t="str">
        <f>IF(M9=0,"–",INDEX(PhaseNames,M9))</f>
        <v>Build</v>
      </c>
      <c r="N10" s="118" t="str">
        <f>IF(N9=0,"–",INDEX(PhaseNames,N9))</f>
        <v>Launch prep</v>
      </c>
      <c r="O10" s="118" t="str">
        <f>IF(O9=0,"–",INDEX(PhaseNames,O9))</f>
        <v>Launch prep</v>
      </c>
      <c r="P10" s="118" t="str">
        <f>IF(P9=0,"–",INDEX(PhaseNames,P9))</f>
        <v>Hypercare</v>
      </c>
      <c r="Q10" s="118" t="str">
        <f>IF(Q9=0,"–",INDEX(PhaseNames,Q9))</f>
        <v>Hypercare</v>
      </c>
      <c r="R10" s="118" t="str">
        <f>IF(R9=0,"–",INDEX(PhaseNames,R9))</f>
        <v>–</v>
      </c>
      <c r="S10" s="118" t="str">
        <f>IF(S9=0,"–",INDEX(PhaseNames,S9))</f>
        <v>–</v>
      </c>
      <c r="T10" s="118" t="str">
        <f>IF(T9=0,"–",INDEX(PhaseNames,T9))</f>
        <v>–</v>
      </c>
    </row>
    <row r="11">
      <c r="B11" s="13" t="inlineStr">
        <is>
          <t>Forecast phase number</t>
        </is>
      </c>
      <c r="C11" s="14" t="inlineStr">
        <is>
          <t>phase</t>
        </is>
      </c>
      <c r="D11" s="6" t="n"/>
      <c r="E11" s="6" t="n"/>
      <c r="F11" s="86">
        <f>IF(F$4&gt;FcEnd,0,COUNTIF(FcStarts,"&lt;="&amp;F$4))</f>
        <v>1</v>
      </c>
      <c r="G11" s="86">
        <f>IF(G$4&gt;FcEnd,0,COUNTIF(FcStarts,"&lt;="&amp;G$4))</f>
        <v>2</v>
      </c>
      <c r="H11" s="86">
        <f>IF(H$4&gt;FcEnd,0,COUNTIF(FcStarts,"&lt;="&amp;H$4))</f>
        <v>2</v>
      </c>
      <c r="I11" s="86">
        <f>IF(I$4&gt;FcEnd,0,COUNTIF(FcStarts,"&lt;="&amp;I$4))</f>
        <v>3</v>
      </c>
      <c r="J11" s="86">
        <f>IF(J$4&gt;FcEnd,0,COUNTIF(FcStarts,"&lt;="&amp;J$4))</f>
        <v>3</v>
      </c>
      <c r="K11" s="86">
        <f>IF(K$4&gt;FcEnd,0,COUNTIF(FcStarts,"&lt;="&amp;K$4))</f>
        <v>3</v>
      </c>
      <c r="L11" s="86">
        <f>IF(L$4&gt;FcEnd,0,COUNTIF(FcStarts,"&lt;="&amp;L$4))</f>
        <v>3</v>
      </c>
      <c r="M11" s="86">
        <f>IF(M$4&gt;FcEnd,0,COUNTIF(FcStarts,"&lt;="&amp;M$4))</f>
        <v>3</v>
      </c>
      <c r="N11" s="86">
        <f>IF(N$4&gt;FcEnd,0,COUNTIF(FcStarts,"&lt;="&amp;N$4))</f>
        <v>4</v>
      </c>
      <c r="O11" s="86">
        <f>IF(O$4&gt;FcEnd,0,COUNTIF(FcStarts,"&lt;="&amp;O$4))</f>
        <v>4</v>
      </c>
      <c r="P11" s="86">
        <f>IF(P$4&gt;FcEnd,0,COUNTIF(FcStarts,"&lt;="&amp;P$4))</f>
        <v>5</v>
      </c>
      <c r="Q11" s="86">
        <f>IF(Q$4&gt;FcEnd,0,COUNTIF(FcStarts,"&lt;="&amp;Q$4))</f>
        <v>5</v>
      </c>
      <c r="R11" s="86">
        <f>IF(R$4&gt;FcEnd,0,COUNTIF(FcStarts,"&lt;="&amp;R$4))</f>
        <v>0</v>
      </c>
      <c r="S11" s="86">
        <f>IF(S$4&gt;FcEnd,0,COUNTIF(FcStarts,"&lt;="&amp;S$4))</f>
        <v>0</v>
      </c>
      <c r="T11" s="86">
        <f>IF(T$4&gt;FcEnd,0,COUNTIF(FcStarts,"&lt;="&amp;T$4))</f>
        <v>0</v>
      </c>
    </row>
    <row r="12">
      <c r="B12" s="13" t="inlineStr">
        <is>
          <t>Forecast phase</t>
        </is>
      </c>
      <c r="C12" s="6" t="n"/>
      <c r="D12" s="6" t="n"/>
      <c r="E12" s="6" t="n"/>
      <c r="F12" s="118" t="str">
        <f>IF(F11=0,"–",INDEX(PhaseNames,F11))</f>
        <v>Discovery</v>
      </c>
      <c r="G12" s="118" t="str">
        <f>IF(G11=0,"–",INDEX(PhaseNames,G11))</f>
        <v>Design</v>
      </c>
      <c r="H12" s="118" t="str">
        <f>IF(H11=0,"–",INDEX(PhaseNames,H11))</f>
        <v>Design</v>
      </c>
      <c r="I12" s="118" t="str">
        <f>IF(I11=0,"–",INDEX(PhaseNames,I11))</f>
        <v>Build</v>
      </c>
      <c r="J12" s="118" t="str">
        <f>IF(J11=0,"–",INDEX(PhaseNames,J11))</f>
        <v>Build</v>
      </c>
      <c r="K12" s="118" t="str">
        <f>IF(K11=0,"–",INDEX(PhaseNames,K11))</f>
        <v>Build</v>
      </c>
      <c r="L12" s="118" t="str">
        <f>IF(L11=0,"–",INDEX(PhaseNames,L11))</f>
        <v>Build</v>
      </c>
      <c r="M12" s="118" t="str">
        <f>IF(M11=0,"–",INDEX(PhaseNames,M11))</f>
        <v>Build</v>
      </c>
      <c r="N12" s="118" t="str">
        <f>IF(N11=0,"–",INDEX(PhaseNames,N11))</f>
        <v>Launch prep</v>
      </c>
      <c r="O12" s="118" t="str">
        <f>IF(O11=0,"–",INDEX(PhaseNames,O11))</f>
        <v>Launch prep</v>
      </c>
      <c r="P12" s="118" t="str">
        <f>IF(P11=0,"–",INDEX(PhaseNames,P11))</f>
        <v>Hypercare</v>
      </c>
      <c r="Q12" s="118" t="str">
        <f>IF(Q11=0,"–",INDEX(PhaseNames,Q11))</f>
        <v>Hypercare</v>
      </c>
      <c r="R12" s="118" t="str">
        <f>IF(R11=0,"–",INDEX(PhaseNames,R11))</f>
        <v>–</v>
      </c>
      <c r="S12" s="118" t="str">
        <f>IF(S11=0,"–",INDEX(PhaseNames,S11))</f>
        <v>–</v>
      </c>
      <c r="T12" s="118" t="str">
        <f>IF(T11=0,"–",INDEX(PhaseNames,T11))</f>
        <v>–</v>
      </c>
    </row>
    <row r="13"/>
    <row r="14" ht="22" customHeight="1">
      <c r="B14" s="39" t="inlineStr">
        <is>
          <t>1  Team, baseline: staffing</t>
        </is>
      </c>
      <c r="C14" s="40" t="n"/>
      <c r="D14" s="40" t="n"/>
      <c r="E14" s="40" t="n"/>
      <c r="F14" s="40" t="n"/>
      <c r="G14" s="40" t="n"/>
      <c r="H14" s="40" t="n"/>
      <c r="I14" s="40" t="n"/>
      <c r="J14" s="40" t="n"/>
      <c r="K14" s="40" t="n"/>
      <c r="L14" s="40" t="n"/>
      <c r="M14" s="40" t="n"/>
      <c r="N14" s="40" t="n"/>
      <c r="O14" s="40" t="n"/>
      <c r="P14" s="40" t="n"/>
      <c r="Q14" s="40" t="n"/>
      <c r="R14" s="40" t="n"/>
      <c r="S14" s="40" t="n"/>
      <c r="T14" s="40" t="n"/>
    </row>
    <row r="15">
      <c r="B15" s="41" t="inlineStr">
        <is>
          <t>FTE per month from the baseline schedule and staffing (Inputs 3 and 6).</t>
        </is>
      </c>
    </row>
    <row r="16">
      <c r="B16" s="119" t="str">
        <f>Inputs!$B$75</f>
        <v>Product management</v>
      </c>
      <c r="C16" s="14" t="inlineStr">
        <is>
          <t>FTE</t>
        </is>
      </c>
      <c r="D16" s="120">
        <f>SUM(F16:T16)</f>
        <v>11</v>
      </c>
      <c r="E16" s="6" t="n"/>
      <c r="F16" s="121">
        <f>IF(F$9=0,0,INDEX(Inputs!$C$75:$G$75,F$9))</f>
        <v>1</v>
      </c>
      <c r="G16" s="121">
        <f>IF(G$9=0,0,INDEX(Inputs!$C$75:$G$75,G$9))</f>
        <v>1</v>
      </c>
      <c r="H16" s="121">
        <f>IF(H$9=0,0,INDEX(Inputs!$C$75:$G$75,H$9))</f>
        <v>1</v>
      </c>
      <c r="I16" s="121">
        <f>IF(I$9=0,0,INDEX(Inputs!$C$75:$G$75,I$9))</f>
        <v>1</v>
      </c>
      <c r="J16" s="121">
        <f>IF(J$9=0,0,INDEX(Inputs!$C$75:$G$75,J$9))</f>
        <v>1</v>
      </c>
      <c r="K16" s="121">
        <f>IF(K$9=0,0,INDEX(Inputs!$C$75:$G$75,K$9))</f>
        <v>1</v>
      </c>
      <c r="L16" s="121">
        <f>IF(L$9=0,0,INDEX(Inputs!$C$75:$G$75,L$9))</f>
        <v>1</v>
      </c>
      <c r="M16" s="121">
        <f>IF(M$9=0,0,INDEX(Inputs!$C$75:$G$75,M$9))</f>
        <v>1</v>
      </c>
      <c r="N16" s="121">
        <f>IF(N$9=0,0,INDEX(Inputs!$C$75:$G$75,N$9))</f>
        <v>1</v>
      </c>
      <c r="O16" s="121">
        <f>IF(O$9=0,0,INDEX(Inputs!$C$75:$G$75,O$9))</f>
        <v>1</v>
      </c>
      <c r="P16" s="121">
        <f>IF(P$9=0,0,INDEX(Inputs!$C$75:$G$75,P$9))</f>
        <v>0.5</v>
      </c>
      <c r="Q16" s="121">
        <f>IF(Q$9=0,0,INDEX(Inputs!$C$75:$G$75,Q$9))</f>
        <v>0.5</v>
      </c>
      <c r="R16" s="121">
        <f>IF(R$9=0,0,INDEX(Inputs!$C$75:$G$75,R$9))</f>
        <v>0</v>
      </c>
      <c r="S16" s="121">
        <f>IF(S$9=0,0,INDEX(Inputs!$C$75:$G$75,S$9))</f>
        <v>0</v>
      </c>
      <c r="T16" s="121">
        <f>IF(T$9=0,0,INDEX(Inputs!$C$75:$G$75,T$9))</f>
        <v>0</v>
      </c>
    </row>
    <row r="17">
      <c r="B17" s="119" t="str">
        <f>Inputs!$B$76</f>
        <v>Product design</v>
      </c>
      <c r="C17" s="14" t="inlineStr">
        <is>
          <t>FTE</t>
        </is>
      </c>
      <c r="D17" s="120">
        <f>SUM(F17:T17)</f>
        <v>11.5</v>
      </c>
      <c r="E17" s="6" t="n"/>
      <c r="F17" s="121">
        <f>IF(F$9=0,0,INDEX(Inputs!$C$76:$G$76,F$9))</f>
        <v>1</v>
      </c>
      <c r="G17" s="121">
        <f>IF(G$9=0,0,INDEX(Inputs!$C$76:$G$76,G$9))</f>
        <v>2</v>
      </c>
      <c r="H17" s="121">
        <f>IF(H$9=0,0,INDEX(Inputs!$C$76:$G$76,H$9))</f>
        <v>2</v>
      </c>
      <c r="I17" s="121">
        <f>IF(I$9=0,0,INDEX(Inputs!$C$76:$G$76,I$9))</f>
        <v>1</v>
      </c>
      <c r="J17" s="121">
        <f>IF(J$9=0,0,INDEX(Inputs!$C$76:$G$76,J$9))</f>
        <v>1</v>
      </c>
      <c r="K17" s="121">
        <f>IF(K$9=0,0,INDEX(Inputs!$C$76:$G$76,K$9))</f>
        <v>1</v>
      </c>
      <c r="L17" s="121">
        <f>IF(L$9=0,0,INDEX(Inputs!$C$76:$G$76,L$9))</f>
        <v>1</v>
      </c>
      <c r="M17" s="121">
        <f>IF(M$9=0,0,INDEX(Inputs!$C$76:$G$76,M$9))</f>
        <v>1</v>
      </c>
      <c r="N17" s="121">
        <f>IF(N$9=0,0,INDEX(Inputs!$C$76:$G$76,N$9))</f>
        <v>0.5</v>
      </c>
      <c r="O17" s="121">
        <f>IF(O$9=0,0,INDEX(Inputs!$C$76:$G$76,O$9))</f>
        <v>0.5</v>
      </c>
      <c r="P17" s="121">
        <f>IF(P$9=0,0,INDEX(Inputs!$C$76:$G$76,P$9))</f>
        <v>0.25</v>
      </c>
      <c r="Q17" s="121">
        <f>IF(Q$9=0,0,INDEX(Inputs!$C$76:$G$76,Q$9))</f>
        <v>0.25</v>
      </c>
      <c r="R17" s="121">
        <f>IF(R$9=0,0,INDEX(Inputs!$C$76:$G$76,R$9))</f>
        <v>0</v>
      </c>
      <c r="S17" s="121">
        <f>IF(S$9=0,0,INDEX(Inputs!$C$76:$G$76,S$9))</f>
        <v>0</v>
      </c>
      <c r="T17" s="121">
        <f>IF(T$9=0,0,INDEX(Inputs!$C$76:$G$76,T$9))</f>
        <v>0</v>
      </c>
    </row>
    <row r="18">
      <c r="B18" s="119" t="str">
        <f>Inputs!$B$77</f>
        <v>iOS development</v>
      </c>
      <c r="C18" s="14" t="inlineStr">
        <is>
          <t>FTE</t>
        </is>
      </c>
      <c r="D18" s="120">
        <f>SUM(F18:T18)</f>
        <v>16</v>
      </c>
      <c r="E18" s="6" t="n"/>
      <c r="F18" s="121">
        <f>IF(F$9=0,0,INDEX(Inputs!$C$77:$G$77,F$9))</f>
        <v>0</v>
      </c>
      <c r="G18" s="121">
        <f>IF(G$9=0,0,INDEX(Inputs!$C$77:$G$77,G$9))</f>
        <v>0.5</v>
      </c>
      <c r="H18" s="121">
        <f>IF(H$9=0,0,INDEX(Inputs!$C$77:$G$77,H$9))</f>
        <v>0.5</v>
      </c>
      <c r="I18" s="121">
        <f>IF(I$9=0,0,INDEX(Inputs!$C$77:$G$77,I$9))</f>
        <v>2</v>
      </c>
      <c r="J18" s="121">
        <f>IF(J$9=0,0,INDEX(Inputs!$C$77:$G$77,J$9))</f>
        <v>2</v>
      </c>
      <c r="K18" s="121">
        <f>IF(K$9=0,0,INDEX(Inputs!$C$77:$G$77,K$9))</f>
        <v>2</v>
      </c>
      <c r="L18" s="121">
        <f>IF(L$9=0,0,INDEX(Inputs!$C$77:$G$77,L$9))</f>
        <v>2</v>
      </c>
      <c r="M18" s="121">
        <f>IF(M$9=0,0,INDEX(Inputs!$C$77:$G$77,M$9))</f>
        <v>2</v>
      </c>
      <c r="N18" s="121">
        <f>IF(N$9=0,0,INDEX(Inputs!$C$77:$G$77,N$9))</f>
        <v>2</v>
      </c>
      <c r="O18" s="121">
        <f>IF(O$9=0,0,INDEX(Inputs!$C$77:$G$77,O$9))</f>
        <v>2</v>
      </c>
      <c r="P18" s="121">
        <f>IF(P$9=0,0,INDEX(Inputs!$C$77:$G$77,P$9))</f>
        <v>0.5</v>
      </c>
      <c r="Q18" s="121">
        <f>IF(Q$9=0,0,INDEX(Inputs!$C$77:$G$77,Q$9))</f>
        <v>0.5</v>
      </c>
      <c r="R18" s="121">
        <f>IF(R$9=0,0,INDEX(Inputs!$C$77:$G$77,R$9))</f>
        <v>0</v>
      </c>
      <c r="S18" s="121">
        <f>IF(S$9=0,0,INDEX(Inputs!$C$77:$G$77,S$9))</f>
        <v>0</v>
      </c>
      <c r="T18" s="121">
        <f>IF(T$9=0,0,INDEX(Inputs!$C$77:$G$77,T$9))</f>
        <v>0</v>
      </c>
    </row>
    <row r="19">
      <c r="B19" s="119" t="str">
        <f>Inputs!$B$78</f>
        <v>Android development</v>
      </c>
      <c r="C19" s="14" t="inlineStr">
        <is>
          <t>FTE</t>
        </is>
      </c>
      <c r="D19" s="120">
        <f>SUM(F19:T19)</f>
        <v>16</v>
      </c>
      <c r="E19" s="6" t="n"/>
      <c r="F19" s="121">
        <f>IF(F$9=0,0,INDEX(Inputs!$C$78:$G$78,F$9))</f>
        <v>0</v>
      </c>
      <c r="G19" s="121">
        <f>IF(G$9=0,0,INDEX(Inputs!$C$78:$G$78,G$9))</f>
        <v>0.5</v>
      </c>
      <c r="H19" s="121">
        <f>IF(H$9=0,0,INDEX(Inputs!$C$78:$G$78,H$9))</f>
        <v>0.5</v>
      </c>
      <c r="I19" s="121">
        <f>IF(I$9=0,0,INDEX(Inputs!$C$78:$G$78,I$9))</f>
        <v>2</v>
      </c>
      <c r="J19" s="121">
        <f>IF(J$9=0,0,INDEX(Inputs!$C$78:$G$78,J$9))</f>
        <v>2</v>
      </c>
      <c r="K19" s="121">
        <f>IF(K$9=0,0,INDEX(Inputs!$C$78:$G$78,K$9))</f>
        <v>2</v>
      </c>
      <c r="L19" s="121">
        <f>IF(L$9=0,0,INDEX(Inputs!$C$78:$G$78,L$9))</f>
        <v>2</v>
      </c>
      <c r="M19" s="121">
        <f>IF(M$9=0,0,INDEX(Inputs!$C$78:$G$78,M$9))</f>
        <v>2</v>
      </c>
      <c r="N19" s="121">
        <f>IF(N$9=0,0,INDEX(Inputs!$C$78:$G$78,N$9))</f>
        <v>2</v>
      </c>
      <c r="O19" s="121">
        <f>IF(O$9=0,0,INDEX(Inputs!$C$78:$G$78,O$9))</f>
        <v>2</v>
      </c>
      <c r="P19" s="121">
        <f>IF(P$9=0,0,INDEX(Inputs!$C$78:$G$78,P$9))</f>
        <v>0.5</v>
      </c>
      <c r="Q19" s="121">
        <f>IF(Q$9=0,0,INDEX(Inputs!$C$78:$G$78,Q$9))</f>
        <v>0.5</v>
      </c>
      <c r="R19" s="121">
        <f>IF(R$9=0,0,INDEX(Inputs!$C$78:$G$78,R$9))</f>
        <v>0</v>
      </c>
      <c r="S19" s="121">
        <f>IF(S$9=0,0,INDEX(Inputs!$C$78:$G$78,S$9))</f>
        <v>0</v>
      </c>
      <c r="T19" s="121">
        <f>IF(T$9=0,0,INDEX(Inputs!$C$78:$G$78,T$9))</f>
        <v>0</v>
      </c>
    </row>
    <row r="20">
      <c r="B20" s="119" t="str">
        <f>Inputs!$B$79</f>
        <v>Backend &amp; integrations</v>
      </c>
      <c r="C20" s="14" t="inlineStr">
        <is>
          <t>FTE</t>
        </is>
      </c>
      <c r="D20" s="120">
        <f>SUM(F20:T20)</f>
        <v>23.5</v>
      </c>
      <c r="E20" s="6" t="n"/>
      <c r="F20" s="121">
        <f>IF(F$9=0,0,INDEX(Inputs!$C$79:$G$79,F$9))</f>
        <v>0.5</v>
      </c>
      <c r="G20" s="121">
        <f>IF(G$9=0,0,INDEX(Inputs!$C$79:$G$79,G$9))</f>
        <v>1</v>
      </c>
      <c r="H20" s="121">
        <f>IF(H$9=0,0,INDEX(Inputs!$C$79:$G$79,H$9))</f>
        <v>1</v>
      </c>
      <c r="I20" s="121">
        <f>IF(I$9=0,0,INDEX(Inputs!$C$79:$G$79,I$9))</f>
        <v>3</v>
      </c>
      <c r="J20" s="121">
        <f>IF(J$9=0,0,INDEX(Inputs!$C$79:$G$79,J$9))</f>
        <v>3</v>
      </c>
      <c r="K20" s="121">
        <f>IF(K$9=0,0,INDEX(Inputs!$C$79:$G$79,K$9))</f>
        <v>3</v>
      </c>
      <c r="L20" s="121">
        <f>IF(L$9=0,0,INDEX(Inputs!$C$79:$G$79,L$9))</f>
        <v>3</v>
      </c>
      <c r="M20" s="121">
        <f>IF(M$9=0,0,INDEX(Inputs!$C$79:$G$79,M$9))</f>
        <v>3</v>
      </c>
      <c r="N20" s="121">
        <f>IF(N$9=0,0,INDEX(Inputs!$C$79:$G$79,N$9))</f>
        <v>2</v>
      </c>
      <c r="O20" s="121">
        <f>IF(O$9=0,0,INDEX(Inputs!$C$79:$G$79,O$9))</f>
        <v>2</v>
      </c>
      <c r="P20" s="121">
        <f>IF(P$9=0,0,INDEX(Inputs!$C$79:$G$79,P$9))</f>
        <v>1</v>
      </c>
      <c r="Q20" s="121">
        <f>IF(Q$9=0,0,INDEX(Inputs!$C$79:$G$79,Q$9))</f>
        <v>1</v>
      </c>
      <c r="R20" s="121">
        <f>IF(R$9=0,0,INDEX(Inputs!$C$79:$G$79,R$9))</f>
        <v>0</v>
      </c>
      <c r="S20" s="121">
        <f>IF(S$9=0,0,INDEX(Inputs!$C$79:$G$79,S$9))</f>
        <v>0</v>
      </c>
      <c r="T20" s="121">
        <f>IF(T$9=0,0,INDEX(Inputs!$C$79:$G$79,T$9))</f>
        <v>0</v>
      </c>
    </row>
    <row r="21">
      <c r="B21" s="119" t="str">
        <f>Inputs!$B$80</f>
        <v>Quality assurance</v>
      </c>
      <c r="C21" s="14" t="inlineStr">
        <is>
          <t>FTE</t>
        </is>
      </c>
      <c r="D21" s="120">
        <f>SUM(F21:T21)</f>
        <v>12.5</v>
      </c>
      <c r="E21" s="6" t="n"/>
      <c r="F21" s="121">
        <f>IF(F$9=0,0,INDEX(Inputs!$C$80:$G$80,F$9))</f>
        <v>0</v>
      </c>
      <c r="G21" s="121">
        <f>IF(G$9=0,0,INDEX(Inputs!$C$80:$G$80,G$9))</f>
        <v>0</v>
      </c>
      <c r="H21" s="121">
        <f>IF(H$9=0,0,INDEX(Inputs!$C$80:$G$80,H$9))</f>
        <v>0</v>
      </c>
      <c r="I21" s="121">
        <f>IF(I$9=0,0,INDEX(Inputs!$C$80:$G$80,I$9))</f>
        <v>1.5</v>
      </c>
      <c r="J21" s="121">
        <f>IF(J$9=0,0,INDEX(Inputs!$C$80:$G$80,J$9))</f>
        <v>1.5</v>
      </c>
      <c r="K21" s="121">
        <f>IF(K$9=0,0,INDEX(Inputs!$C$80:$G$80,K$9))</f>
        <v>1.5</v>
      </c>
      <c r="L21" s="121">
        <f>IF(L$9=0,0,INDEX(Inputs!$C$80:$G$80,L$9))</f>
        <v>1.5</v>
      </c>
      <c r="M21" s="121">
        <f>IF(M$9=0,0,INDEX(Inputs!$C$80:$G$80,M$9))</f>
        <v>1.5</v>
      </c>
      <c r="N21" s="121">
        <f>IF(N$9=0,0,INDEX(Inputs!$C$80:$G$80,N$9))</f>
        <v>2</v>
      </c>
      <c r="O21" s="121">
        <f>IF(O$9=0,0,INDEX(Inputs!$C$80:$G$80,O$9))</f>
        <v>2</v>
      </c>
      <c r="P21" s="121">
        <f>IF(P$9=0,0,INDEX(Inputs!$C$80:$G$80,P$9))</f>
        <v>0.5</v>
      </c>
      <c r="Q21" s="121">
        <f>IF(Q$9=0,0,INDEX(Inputs!$C$80:$G$80,Q$9))</f>
        <v>0.5</v>
      </c>
      <c r="R21" s="121">
        <f>IF(R$9=0,0,INDEX(Inputs!$C$80:$G$80,R$9))</f>
        <v>0</v>
      </c>
      <c r="S21" s="121">
        <f>IF(S$9=0,0,INDEX(Inputs!$C$80:$G$80,S$9))</f>
        <v>0</v>
      </c>
      <c r="T21" s="121">
        <f>IF(T$9=0,0,INDEX(Inputs!$C$80:$G$80,T$9))</f>
        <v>0</v>
      </c>
    </row>
    <row r="22">
      <c r="B22" s="119" t="str">
        <f>Inputs!$B$81</f>
        <v>Cloud &amp; DevOps</v>
      </c>
      <c r="C22" s="14" t="inlineStr">
        <is>
          <t>FTE</t>
        </is>
      </c>
      <c r="D22" s="120">
        <f>SUM(F22:T22)</f>
        <v>6.25</v>
      </c>
      <c r="E22" s="6" t="n"/>
      <c r="F22" s="121">
        <f>IF(F$9=0,0,INDEX(Inputs!$C$81:$G$81,F$9))</f>
        <v>0.25</v>
      </c>
      <c r="G22" s="121">
        <f>IF(G$9=0,0,INDEX(Inputs!$C$81:$G$81,G$9))</f>
        <v>0.25</v>
      </c>
      <c r="H22" s="121">
        <f>IF(H$9=0,0,INDEX(Inputs!$C$81:$G$81,H$9))</f>
        <v>0.25</v>
      </c>
      <c r="I22" s="121">
        <f>IF(I$9=0,0,INDEX(Inputs!$C$81:$G$81,I$9))</f>
        <v>0.5</v>
      </c>
      <c r="J22" s="121">
        <f>IF(J$9=0,0,INDEX(Inputs!$C$81:$G$81,J$9))</f>
        <v>0.5</v>
      </c>
      <c r="K22" s="121">
        <f>IF(K$9=0,0,INDEX(Inputs!$C$81:$G$81,K$9))</f>
        <v>0.5</v>
      </c>
      <c r="L22" s="121">
        <f>IF(L$9=0,0,INDEX(Inputs!$C$81:$G$81,L$9))</f>
        <v>0.5</v>
      </c>
      <c r="M22" s="121">
        <f>IF(M$9=0,0,INDEX(Inputs!$C$81:$G$81,M$9))</f>
        <v>0.5</v>
      </c>
      <c r="N22" s="121">
        <f>IF(N$9=0,0,INDEX(Inputs!$C$81:$G$81,N$9))</f>
        <v>1</v>
      </c>
      <c r="O22" s="121">
        <f>IF(O$9=0,0,INDEX(Inputs!$C$81:$G$81,O$9))</f>
        <v>1</v>
      </c>
      <c r="P22" s="121">
        <f>IF(P$9=0,0,INDEX(Inputs!$C$81:$G$81,P$9))</f>
        <v>0.5</v>
      </c>
      <c r="Q22" s="121">
        <f>IF(Q$9=0,0,INDEX(Inputs!$C$81:$G$81,Q$9))</f>
        <v>0.5</v>
      </c>
      <c r="R22" s="121">
        <f>IF(R$9=0,0,INDEX(Inputs!$C$81:$G$81,R$9))</f>
        <v>0</v>
      </c>
      <c r="S22" s="121">
        <f>IF(S$9=0,0,INDEX(Inputs!$C$81:$G$81,S$9))</f>
        <v>0</v>
      </c>
      <c r="T22" s="121">
        <f>IF(T$9=0,0,INDEX(Inputs!$C$81:$G$81,T$9))</f>
        <v>0</v>
      </c>
    </row>
    <row r="23">
      <c r="B23" s="119" t="str">
        <f>Inputs!$B$82</f>
        <v>Engineering lead</v>
      </c>
      <c r="C23" s="14" t="inlineStr">
        <is>
          <t>FTE</t>
        </is>
      </c>
      <c r="D23" s="120">
        <f>SUM(F23:T23)</f>
        <v>10.5</v>
      </c>
      <c r="E23" s="6" t="n"/>
      <c r="F23" s="121">
        <f>IF(F$9=0,0,INDEX(Inputs!$C$82:$G$82,F$9))</f>
        <v>0.5</v>
      </c>
      <c r="G23" s="121">
        <f>IF(G$9=0,0,INDEX(Inputs!$C$82:$G$82,G$9))</f>
        <v>1</v>
      </c>
      <c r="H23" s="121">
        <f>IF(H$9=0,0,INDEX(Inputs!$C$82:$G$82,H$9))</f>
        <v>1</v>
      </c>
      <c r="I23" s="121">
        <f>IF(I$9=0,0,INDEX(Inputs!$C$82:$G$82,I$9))</f>
        <v>1</v>
      </c>
      <c r="J23" s="121">
        <f>IF(J$9=0,0,INDEX(Inputs!$C$82:$G$82,J$9))</f>
        <v>1</v>
      </c>
      <c r="K23" s="121">
        <f>IF(K$9=0,0,INDEX(Inputs!$C$82:$G$82,K$9))</f>
        <v>1</v>
      </c>
      <c r="L23" s="121">
        <f>IF(L$9=0,0,INDEX(Inputs!$C$82:$G$82,L$9))</f>
        <v>1</v>
      </c>
      <c r="M23" s="121">
        <f>IF(M$9=0,0,INDEX(Inputs!$C$82:$G$82,M$9))</f>
        <v>1</v>
      </c>
      <c r="N23" s="121">
        <f>IF(N$9=0,0,INDEX(Inputs!$C$82:$G$82,N$9))</f>
        <v>1</v>
      </c>
      <c r="O23" s="121">
        <f>IF(O$9=0,0,INDEX(Inputs!$C$82:$G$82,O$9))</f>
        <v>1</v>
      </c>
      <c r="P23" s="121">
        <f>IF(P$9=0,0,INDEX(Inputs!$C$82:$G$82,P$9))</f>
        <v>0.5</v>
      </c>
      <c r="Q23" s="121">
        <f>IF(Q$9=0,0,INDEX(Inputs!$C$82:$G$82,Q$9))</f>
        <v>0.5</v>
      </c>
      <c r="R23" s="121">
        <f>IF(R$9=0,0,INDEX(Inputs!$C$82:$G$82,R$9))</f>
        <v>0</v>
      </c>
      <c r="S23" s="121">
        <f>IF(S$9=0,0,INDEX(Inputs!$C$82:$G$82,S$9))</f>
        <v>0</v>
      </c>
      <c r="T23" s="121">
        <f>IF(T$9=0,0,INDEX(Inputs!$C$82:$G$82,T$9))</f>
        <v>0</v>
      </c>
    </row>
    <row r="24">
      <c r="B24" s="60" t="inlineStr">
        <is>
          <t>Team size</t>
        </is>
      </c>
      <c r="C24" s="75" t="n"/>
      <c r="D24" s="122">
        <f>SUM(D16:D23)</f>
        <v>107.25</v>
      </c>
      <c r="E24" s="75" t="n"/>
      <c r="F24" s="122">
        <f>SUM(F16:F23)</f>
        <v>3.25</v>
      </c>
      <c r="G24" s="122">
        <f>SUM(G16:G23)</f>
        <v>6.25</v>
      </c>
      <c r="H24" s="122">
        <f>SUM(H16:H23)</f>
        <v>6.25</v>
      </c>
      <c r="I24" s="122">
        <f>SUM(I16:I23)</f>
        <v>12</v>
      </c>
      <c r="J24" s="122">
        <f>SUM(J16:J23)</f>
        <v>12</v>
      </c>
      <c r="K24" s="122">
        <f>SUM(K16:K23)</f>
        <v>12</v>
      </c>
      <c r="L24" s="122">
        <f>SUM(L16:L23)</f>
        <v>12</v>
      </c>
      <c r="M24" s="122">
        <f>SUM(M16:M23)</f>
        <v>12</v>
      </c>
      <c r="N24" s="122">
        <f>SUM(N16:N23)</f>
        <v>11.5</v>
      </c>
      <c r="O24" s="122">
        <f>SUM(O16:O23)</f>
        <v>11.5</v>
      </c>
      <c r="P24" s="122">
        <f>SUM(P16:P23)</f>
        <v>4.25</v>
      </c>
      <c r="Q24" s="122">
        <f>SUM(Q16:Q23)</f>
        <v>4.25</v>
      </c>
      <c r="R24" s="122">
        <f>SUM(R16:R23)</f>
        <v>0</v>
      </c>
      <c r="S24" s="122">
        <f>SUM(S16:S23)</f>
        <v>0</v>
      </c>
      <c r="T24" s="122">
        <f>SUM(T16:T23)</f>
        <v>0</v>
      </c>
    </row>
    <row r="25"/>
    <row r="26" ht="22" customHeight="1">
      <c r="B26" s="39" t="inlineStr">
        <is>
          <t>2  Team, baseline: cost</t>
        </is>
      </c>
      <c r="C26" s="40" t="n"/>
      <c r="D26" s="40" t="n"/>
      <c r="E26" s="40" t="n"/>
      <c r="F26" s="40" t="n"/>
      <c r="G26" s="40" t="n"/>
      <c r="H26" s="40" t="n"/>
      <c r="I26" s="40" t="n"/>
      <c r="J26" s="40" t="n"/>
      <c r="K26" s="40" t="n"/>
      <c r="L26" s="40" t="n"/>
      <c r="M26" s="40" t="n"/>
      <c r="N26" s="40" t="n"/>
      <c r="O26" s="40" t="n"/>
      <c r="P26" s="40" t="n"/>
      <c r="Q26" s="40" t="n"/>
      <c r="R26" s="40" t="n"/>
      <c r="S26" s="40" t="n"/>
      <c r="T26" s="40" t="n"/>
    </row>
    <row r="27">
      <c r="B27" s="41" t="inlineStr">
        <is>
          <t>FTE × baseline cost per FTE month (Inputs 5).</t>
        </is>
      </c>
    </row>
    <row r="28">
      <c r="B28" s="119" t="str">
        <f>Inputs!$B$62</f>
        <v>Product management</v>
      </c>
      <c r="C28" s="123" t="str">
        <f>Inputs!$C$62</f>
        <v>Internal</v>
      </c>
      <c r="D28" s="69">
        <f>SUM(F28:T28)</f>
        <v>159500</v>
      </c>
      <c r="E28" s="6" t="n"/>
      <c r="F28" s="57">
        <f>F16*Inputs!$G$62</f>
        <v>14500</v>
      </c>
      <c r="G28" s="57">
        <f>G16*Inputs!$G$62</f>
        <v>14500</v>
      </c>
      <c r="H28" s="57">
        <f>H16*Inputs!$G$62</f>
        <v>14500</v>
      </c>
      <c r="I28" s="57">
        <f>I16*Inputs!$G$62</f>
        <v>14500</v>
      </c>
      <c r="J28" s="57">
        <f>J16*Inputs!$G$62</f>
        <v>14500</v>
      </c>
      <c r="K28" s="57">
        <f>K16*Inputs!$G$62</f>
        <v>14500</v>
      </c>
      <c r="L28" s="57">
        <f>L16*Inputs!$G$62</f>
        <v>14500</v>
      </c>
      <c r="M28" s="57">
        <f>M16*Inputs!$G$62</f>
        <v>14500</v>
      </c>
      <c r="N28" s="57">
        <f>N16*Inputs!$G$62</f>
        <v>14500</v>
      </c>
      <c r="O28" s="57">
        <f>O16*Inputs!$G$62</f>
        <v>14500</v>
      </c>
      <c r="P28" s="57">
        <f>P16*Inputs!$G$62</f>
        <v>7250</v>
      </c>
      <c r="Q28" s="57">
        <f>Q16*Inputs!$G$62</f>
        <v>7250</v>
      </c>
      <c r="R28" s="57">
        <f>R16*Inputs!$G$62</f>
        <v>0</v>
      </c>
      <c r="S28" s="57">
        <f>S16*Inputs!$G$62</f>
        <v>0</v>
      </c>
      <c r="T28" s="57">
        <f>T16*Inputs!$G$62</f>
        <v>0</v>
      </c>
    </row>
    <row r="29">
      <c r="B29" s="119" t="str">
        <f>Inputs!$B$63</f>
        <v>Product design</v>
      </c>
      <c r="C29" s="123" t="str">
        <f>Inputs!$C$63</f>
        <v>Internal</v>
      </c>
      <c r="D29" s="69">
        <f>SUM(F29:T29)</f>
        <v>143750</v>
      </c>
      <c r="E29" s="6" t="n"/>
      <c r="F29" s="57">
        <f>F17*Inputs!$G$63</f>
        <v>12500</v>
      </c>
      <c r="G29" s="57">
        <f>G17*Inputs!$G$63</f>
        <v>25000</v>
      </c>
      <c r="H29" s="57">
        <f>H17*Inputs!$G$63</f>
        <v>25000</v>
      </c>
      <c r="I29" s="57">
        <f>I17*Inputs!$G$63</f>
        <v>12500</v>
      </c>
      <c r="J29" s="57">
        <f>J17*Inputs!$G$63</f>
        <v>12500</v>
      </c>
      <c r="K29" s="57">
        <f>K17*Inputs!$G$63</f>
        <v>12500</v>
      </c>
      <c r="L29" s="57">
        <f>L17*Inputs!$G$63</f>
        <v>12500</v>
      </c>
      <c r="M29" s="57">
        <f>M17*Inputs!$G$63</f>
        <v>12500</v>
      </c>
      <c r="N29" s="57">
        <f>N17*Inputs!$G$63</f>
        <v>6250</v>
      </c>
      <c r="O29" s="57">
        <f>O17*Inputs!$G$63</f>
        <v>6250</v>
      </c>
      <c r="P29" s="57">
        <f>P17*Inputs!$G$63</f>
        <v>3125</v>
      </c>
      <c r="Q29" s="57">
        <f>Q17*Inputs!$G$63</f>
        <v>3125</v>
      </c>
      <c r="R29" s="57">
        <f>R17*Inputs!$G$63</f>
        <v>0</v>
      </c>
      <c r="S29" s="57">
        <f>S17*Inputs!$G$63</f>
        <v>0</v>
      </c>
      <c r="T29" s="57">
        <f>T17*Inputs!$G$63</f>
        <v>0</v>
      </c>
    </row>
    <row r="30">
      <c r="B30" s="119" t="str">
        <f>Inputs!$B$64</f>
        <v>iOS development</v>
      </c>
      <c r="C30" s="123" t="str">
        <f>Inputs!$C$64</f>
        <v>Contractor</v>
      </c>
      <c r="D30" s="69">
        <f>SUM(F30:T30)</f>
        <v>224640</v>
      </c>
      <c r="E30" s="6" t="n"/>
      <c r="F30" s="57">
        <f>F18*Inputs!$G$64</f>
        <v>0</v>
      </c>
      <c r="G30" s="57">
        <f>G18*Inputs!$G$64</f>
        <v>7020</v>
      </c>
      <c r="H30" s="57">
        <f>H18*Inputs!$G$64</f>
        <v>7020</v>
      </c>
      <c r="I30" s="57">
        <f>I18*Inputs!$G$64</f>
        <v>28080</v>
      </c>
      <c r="J30" s="57">
        <f>J18*Inputs!$G$64</f>
        <v>28080</v>
      </c>
      <c r="K30" s="57">
        <f>K18*Inputs!$G$64</f>
        <v>28080</v>
      </c>
      <c r="L30" s="57">
        <f>L18*Inputs!$G$64</f>
        <v>28080</v>
      </c>
      <c r="M30" s="57">
        <f>M18*Inputs!$G$64</f>
        <v>28080</v>
      </c>
      <c r="N30" s="57">
        <f>N18*Inputs!$G$64</f>
        <v>28080</v>
      </c>
      <c r="O30" s="57">
        <f>O18*Inputs!$G$64</f>
        <v>28080</v>
      </c>
      <c r="P30" s="57">
        <f>P18*Inputs!$G$64</f>
        <v>7020</v>
      </c>
      <c r="Q30" s="57">
        <f>Q18*Inputs!$G$64</f>
        <v>7020</v>
      </c>
      <c r="R30" s="57">
        <f>R18*Inputs!$G$64</f>
        <v>0</v>
      </c>
      <c r="S30" s="57">
        <f>S18*Inputs!$G$64</f>
        <v>0</v>
      </c>
      <c r="T30" s="57">
        <f>T18*Inputs!$G$64</f>
        <v>0</v>
      </c>
    </row>
    <row r="31">
      <c r="B31" s="119" t="str">
        <f>Inputs!$B$65</f>
        <v>Android development</v>
      </c>
      <c r="C31" s="123" t="str">
        <f>Inputs!$C$65</f>
        <v>Contractor</v>
      </c>
      <c r="D31" s="69">
        <f>SUM(F31:T31)</f>
        <v>218880</v>
      </c>
      <c r="E31" s="6" t="n"/>
      <c r="F31" s="57">
        <f>F19*Inputs!$G$65</f>
        <v>0</v>
      </c>
      <c r="G31" s="57">
        <f>G19*Inputs!$G$65</f>
        <v>6840</v>
      </c>
      <c r="H31" s="57">
        <f>H19*Inputs!$G$65</f>
        <v>6840</v>
      </c>
      <c r="I31" s="57">
        <f>I19*Inputs!$G$65</f>
        <v>27360</v>
      </c>
      <c r="J31" s="57">
        <f>J19*Inputs!$G$65</f>
        <v>27360</v>
      </c>
      <c r="K31" s="57">
        <f>K19*Inputs!$G$65</f>
        <v>27360</v>
      </c>
      <c r="L31" s="57">
        <f>L19*Inputs!$G$65</f>
        <v>27360</v>
      </c>
      <c r="M31" s="57">
        <f>M19*Inputs!$G$65</f>
        <v>27360</v>
      </c>
      <c r="N31" s="57">
        <f>N19*Inputs!$G$65</f>
        <v>27360</v>
      </c>
      <c r="O31" s="57">
        <f>O19*Inputs!$G$65</f>
        <v>27360</v>
      </c>
      <c r="P31" s="57">
        <f>P19*Inputs!$G$65</f>
        <v>6840</v>
      </c>
      <c r="Q31" s="57">
        <f>Q19*Inputs!$G$65</f>
        <v>6840</v>
      </c>
      <c r="R31" s="57">
        <f>R19*Inputs!$G$65</f>
        <v>0</v>
      </c>
      <c r="S31" s="57">
        <f>S19*Inputs!$G$65</f>
        <v>0</v>
      </c>
      <c r="T31" s="57">
        <f>T19*Inputs!$G$65</f>
        <v>0</v>
      </c>
    </row>
    <row r="32">
      <c r="B32" s="119" t="str">
        <f>Inputs!$B$66</f>
        <v>Backend &amp; integrations</v>
      </c>
      <c r="C32" s="123" t="str">
        <f>Inputs!$C$66</f>
        <v>Internal</v>
      </c>
      <c r="D32" s="69">
        <f>SUM(F32:T32)</f>
        <v>329000</v>
      </c>
      <c r="E32" s="6" t="n"/>
      <c r="F32" s="57">
        <f>F20*Inputs!$G$66</f>
        <v>7000</v>
      </c>
      <c r="G32" s="57">
        <f>G20*Inputs!$G$66</f>
        <v>14000</v>
      </c>
      <c r="H32" s="57">
        <f>H20*Inputs!$G$66</f>
        <v>14000</v>
      </c>
      <c r="I32" s="57">
        <f>I20*Inputs!$G$66</f>
        <v>42000</v>
      </c>
      <c r="J32" s="57">
        <f>J20*Inputs!$G$66</f>
        <v>42000</v>
      </c>
      <c r="K32" s="57">
        <f>K20*Inputs!$G$66</f>
        <v>42000</v>
      </c>
      <c r="L32" s="57">
        <f>L20*Inputs!$G$66</f>
        <v>42000</v>
      </c>
      <c r="M32" s="57">
        <f>M20*Inputs!$G$66</f>
        <v>42000</v>
      </c>
      <c r="N32" s="57">
        <f>N20*Inputs!$G$66</f>
        <v>28000</v>
      </c>
      <c r="O32" s="57">
        <f>O20*Inputs!$G$66</f>
        <v>28000</v>
      </c>
      <c r="P32" s="57">
        <f>P20*Inputs!$G$66</f>
        <v>14000</v>
      </c>
      <c r="Q32" s="57">
        <f>Q20*Inputs!$G$66</f>
        <v>14000</v>
      </c>
      <c r="R32" s="57">
        <f>R20*Inputs!$G$66</f>
        <v>0</v>
      </c>
      <c r="S32" s="57">
        <f>S20*Inputs!$G$66</f>
        <v>0</v>
      </c>
      <c r="T32" s="57">
        <f>T20*Inputs!$G$66</f>
        <v>0</v>
      </c>
    </row>
    <row r="33">
      <c r="B33" s="119" t="str">
        <f>Inputs!$B$67</f>
        <v>Quality assurance</v>
      </c>
      <c r="C33" s="123" t="str">
        <f>Inputs!$C$67</f>
        <v>Contractor</v>
      </c>
      <c r="D33" s="69">
        <f>SUM(F33:T33)</f>
        <v>126000</v>
      </c>
      <c r="E33" s="6" t="n"/>
      <c r="F33" s="57">
        <f>F21*Inputs!$G$67</f>
        <v>0</v>
      </c>
      <c r="G33" s="57">
        <f>G21*Inputs!$G$67</f>
        <v>0</v>
      </c>
      <c r="H33" s="57">
        <f>H21*Inputs!$G$67</f>
        <v>0</v>
      </c>
      <c r="I33" s="57">
        <f>I21*Inputs!$G$67</f>
        <v>15120</v>
      </c>
      <c r="J33" s="57">
        <f>J21*Inputs!$G$67</f>
        <v>15120</v>
      </c>
      <c r="K33" s="57">
        <f>K21*Inputs!$G$67</f>
        <v>15120</v>
      </c>
      <c r="L33" s="57">
        <f>L21*Inputs!$G$67</f>
        <v>15120</v>
      </c>
      <c r="M33" s="57">
        <f>M21*Inputs!$G$67</f>
        <v>15120</v>
      </c>
      <c r="N33" s="57">
        <f>N21*Inputs!$G$67</f>
        <v>20160</v>
      </c>
      <c r="O33" s="57">
        <f>O21*Inputs!$G$67</f>
        <v>20160</v>
      </c>
      <c r="P33" s="57">
        <f>P21*Inputs!$G$67</f>
        <v>5040</v>
      </c>
      <c r="Q33" s="57">
        <f>Q21*Inputs!$G$67</f>
        <v>5040</v>
      </c>
      <c r="R33" s="57">
        <f>R21*Inputs!$G$67</f>
        <v>0</v>
      </c>
      <c r="S33" s="57">
        <f>S21*Inputs!$G$67</f>
        <v>0</v>
      </c>
      <c r="T33" s="57">
        <f>T21*Inputs!$G$67</f>
        <v>0</v>
      </c>
    </row>
    <row r="34">
      <c r="B34" s="119" t="str">
        <f>Inputs!$B$68</f>
        <v>Cloud &amp; DevOps</v>
      </c>
      <c r="C34" s="123" t="str">
        <f>Inputs!$C$68</f>
        <v>Internal</v>
      </c>
      <c r="D34" s="69">
        <f>SUM(F34:T34)</f>
        <v>90625</v>
      </c>
      <c r="E34" s="6" t="n"/>
      <c r="F34" s="57">
        <f>F22*Inputs!$G$68</f>
        <v>3625</v>
      </c>
      <c r="G34" s="57">
        <f>G22*Inputs!$G$68</f>
        <v>3625</v>
      </c>
      <c r="H34" s="57">
        <f>H22*Inputs!$G$68</f>
        <v>3625</v>
      </c>
      <c r="I34" s="57">
        <f>I22*Inputs!$G$68</f>
        <v>7250</v>
      </c>
      <c r="J34" s="57">
        <f>J22*Inputs!$G$68</f>
        <v>7250</v>
      </c>
      <c r="K34" s="57">
        <f>K22*Inputs!$G$68</f>
        <v>7250</v>
      </c>
      <c r="L34" s="57">
        <f>L22*Inputs!$G$68</f>
        <v>7250</v>
      </c>
      <c r="M34" s="57">
        <f>M22*Inputs!$G$68</f>
        <v>7250</v>
      </c>
      <c r="N34" s="57">
        <f>N22*Inputs!$G$68</f>
        <v>14500</v>
      </c>
      <c r="O34" s="57">
        <f>O22*Inputs!$G$68</f>
        <v>14500</v>
      </c>
      <c r="P34" s="57">
        <f>P22*Inputs!$G$68</f>
        <v>7250</v>
      </c>
      <c r="Q34" s="57">
        <f>Q22*Inputs!$G$68</f>
        <v>7250</v>
      </c>
      <c r="R34" s="57">
        <f>R22*Inputs!$G$68</f>
        <v>0</v>
      </c>
      <c r="S34" s="57">
        <f>S22*Inputs!$G$68</f>
        <v>0</v>
      </c>
      <c r="T34" s="57">
        <f>T22*Inputs!$G$68</f>
        <v>0</v>
      </c>
    </row>
    <row r="35">
      <c r="B35" s="119" t="str">
        <f>Inputs!$B$69</f>
        <v>Engineering lead</v>
      </c>
      <c r="C35" s="123" t="str">
        <f>Inputs!$C$69</f>
        <v>Internal</v>
      </c>
      <c r="D35" s="69">
        <f>SUM(F35:T35)</f>
        <v>173250</v>
      </c>
      <c r="E35" s="6" t="n"/>
      <c r="F35" s="57">
        <f>F23*Inputs!$G$69</f>
        <v>8250</v>
      </c>
      <c r="G35" s="57">
        <f>G23*Inputs!$G$69</f>
        <v>16500</v>
      </c>
      <c r="H35" s="57">
        <f>H23*Inputs!$G$69</f>
        <v>16500</v>
      </c>
      <c r="I35" s="57">
        <f>I23*Inputs!$G$69</f>
        <v>16500</v>
      </c>
      <c r="J35" s="57">
        <f>J23*Inputs!$G$69</f>
        <v>16500</v>
      </c>
      <c r="K35" s="57">
        <f>K23*Inputs!$G$69</f>
        <v>16500</v>
      </c>
      <c r="L35" s="57">
        <f>L23*Inputs!$G$69</f>
        <v>16500</v>
      </c>
      <c r="M35" s="57">
        <f>M23*Inputs!$G$69</f>
        <v>16500</v>
      </c>
      <c r="N35" s="57">
        <f>N23*Inputs!$G$69</f>
        <v>16500</v>
      </c>
      <c r="O35" s="57">
        <f>O23*Inputs!$G$69</f>
        <v>16500</v>
      </c>
      <c r="P35" s="57">
        <f>P23*Inputs!$G$69</f>
        <v>8250</v>
      </c>
      <c r="Q35" s="57">
        <f>Q23*Inputs!$G$69</f>
        <v>8250</v>
      </c>
      <c r="R35" s="57">
        <f>R23*Inputs!$G$69</f>
        <v>0</v>
      </c>
      <c r="S35" s="57">
        <f>S23*Inputs!$G$69</f>
        <v>0</v>
      </c>
      <c r="T35" s="57">
        <f>T23*Inputs!$G$69</f>
        <v>0</v>
      </c>
    </row>
    <row r="36">
      <c r="B36" s="60" t="inlineStr">
        <is>
          <t>Team, baseline</t>
        </is>
      </c>
      <c r="C36" s="75" t="n"/>
      <c r="D36" s="61">
        <f>SUM(D28:D35)</f>
        <v>1465645</v>
      </c>
      <c r="E36" s="75" t="n"/>
      <c r="F36" s="61">
        <f>SUM(F28:F35)</f>
        <v>45875</v>
      </c>
      <c r="G36" s="61">
        <f>SUM(G28:G35)</f>
        <v>87485</v>
      </c>
      <c r="H36" s="61">
        <f>SUM(H28:H35)</f>
        <v>87485</v>
      </c>
      <c r="I36" s="61">
        <f>SUM(I28:I35)</f>
        <v>163310</v>
      </c>
      <c r="J36" s="61">
        <f>SUM(J28:J35)</f>
        <v>163310</v>
      </c>
      <c r="K36" s="61">
        <f>SUM(K28:K35)</f>
        <v>163310</v>
      </c>
      <c r="L36" s="61">
        <f>SUM(L28:L35)</f>
        <v>163310</v>
      </c>
      <c r="M36" s="61">
        <f>SUM(M28:M35)</f>
        <v>163310</v>
      </c>
      <c r="N36" s="61">
        <f>SUM(N28:N35)</f>
        <v>155350</v>
      </c>
      <c r="O36" s="61">
        <f>SUM(O28:O35)</f>
        <v>155350</v>
      </c>
      <c r="P36" s="61">
        <f>SUM(P28:P35)</f>
        <v>58775</v>
      </c>
      <c r="Q36" s="61">
        <f>SUM(Q28:Q35)</f>
        <v>58775</v>
      </c>
      <c r="R36" s="61">
        <f>SUM(R28:R35)</f>
        <v>0</v>
      </c>
      <c r="S36" s="61">
        <f>SUM(S28:S35)</f>
        <v>0</v>
      </c>
      <c r="T36" s="61">
        <f>SUM(T28:T35)</f>
        <v>0</v>
      </c>
    </row>
    <row r="37"/>
    <row r="38" ht="22" customHeight="1">
      <c r="B38" s="39" t="inlineStr">
        <is>
          <t>3  Team, current plan: staffing</t>
        </is>
      </c>
      <c r="C38" s="40" t="n"/>
      <c r="D38" s="40" t="n"/>
      <c r="E38" s="40" t="n"/>
      <c r="F38" s="40" t="n"/>
      <c r="G38" s="40" t="n"/>
      <c r="H38" s="40" t="n"/>
      <c r="I38" s="40" t="n"/>
      <c r="J38" s="40" t="n"/>
      <c r="K38" s="40" t="n"/>
      <c r="L38" s="40" t="n"/>
      <c r="M38" s="40" t="n"/>
      <c r="N38" s="40" t="n"/>
      <c r="O38" s="40" t="n"/>
      <c r="P38" s="40" t="n"/>
      <c r="Q38" s="40" t="n"/>
      <c r="R38" s="40" t="n"/>
      <c r="S38" s="40" t="n"/>
      <c r="T38" s="40" t="n"/>
    </row>
    <row r="39">
      <c r="B39" s="41" t="inlineStr">
        <is>
          <t>FTE per month from the forecast schedule and current staffing, before actuals replace the closed months.</t>
        </is>
      </c>
    </row>
    <row r="40">
      <c r="B40" s="119" t="str">
        <f>Inputs!$B$75</f>
        <v>Product management</v>
      </c>
      <c r="C40" s="14" t="inlineStr">
        <is>
          <t>FTE</t>
        </is>
      </c>
      <c r="D40" s="120">
        <f>SUM(F40:T40)</f>
        <v>11</v>
      </c>
      <c r="E40" s="6" t="n"/>
      <c r="F40" s="121">
        <f>IF(F$11=0,0,INDEX(Inputs!$I$75:$M$75,F$11))</f>
        <v>1</v>
      </c>
      <c r="G40" s="121">
        <f>IF(G$11=0,0,INDEX(Inputs!$I$75:$M$75,G$11))</f>
        <v>1</v>
      </c>
      <c r="H40" s="121">
        <f>IF(H$11=0,0,INDEX(Inputs!$I$75:$M$75,H$11))</f>
        <v>1</v>
      </c>
      <c r="I40" s="121">
        <f>IF(I$11=0,0,INDEX(Inputs!$I$75:$M$75,I$11))</f>
        <v>1</v>
      </c>
      <c r="J40" s="121">
        <f>IF(J$11=0,0,INDEX(Inputs!$I$75:$M$75,J$11))</f>
        <v>1</v>
      </c>
      <c r="K40" s="121">
        <f>IF(K$11=0,0,INDEX(Inputs!$I$75:$M$75,K$11))</f>
        <v>1</v>
      </c>
      <c r="L40" s="121">
        <f>IF(L$11=0,0,INDEX(Inputs!$I$75:$M$75,L$11))</f>
        <v>1</v>
      </c>
      <c r="M40" s="121">
        <f>IF(M$11=0,0,INDEX(Inputs!$I$75:$M$75,M$11))</f>
        <v>1</v>
      </c>
      <c r="N40" s="121">
        <f>IF(N$11=0,0,INDEX(Inputs!$I$75:$M$75,N$11))</f>
        <v>1</v>
      </c>
      <c r="O40" s="121">
        <f>IF(O$11=0,0,INDEX(Inputs!$I$75:$M$75,O$11))</f>
        <v>1</v>
      </c>
      <c r="P40" s="121">
        <f>IF(P$11=0,0,INDEX(Inputs!$I$75:$M$75,P$11))</f>
        <v>0.5</v>
      </c>
      <c r="Q40" s="121">
        <f>IF(Q$11=0,0,INDEX(Inputs!$I$75:$M$75,Q$11))</f>
        <v>0.5</v>
      </c>
      <c r="R40" s="121">
        <f>IF(R$11=0,0,INDEX(Inputs!$I$75:$M$75,R$11))</f>
        <v>0</v>
      </c>
      <c r="S40" s="121">
        <f>IF(S$11=0,0,INDEX(Inputs!$I$75:$M$75,S$11))</f>
        <v>0</v>
      </c>
      <c r="T40" s="121">
        <f>IF(T$11=0,0,INDEX(Inputs!$I$75:$M$75,T$11))</f>
        <v>0</v>
      </c>
    </row>
    <row r="41">
      <c r="B41" s="119" t="str">
        <f>Inputs!$B$76</f>
        <v>Product design</v>
      </c>
      <c r="C41" s="14" t="inlineStr">
        <is>
          <t>FTE</t>
        </is>
      </c>
      <c r="D41" s="120">
        <f>SUM(F41:T41)</f>
        <v>10.25</v>
      </c>
      <c r="E41" s="6" t="n"/>
      <c r="F41" s="121">
        <f>IF(F$11=0,0,INDEX(Inputs!$I$76:$M$76,F$11))</f>
        <v>1</v>
      </c>
      <c r="G41" s="121">
        <f>IF(G$11=0,0,INDEX(Inputs!$I$76:$M$76,G$11))</f>
        <v>2</v>
      </c>
      <c r="H41" s="121">
        <f>IF(H$11=0,0,INDEX(Inputs!$I$76:$M$76,H$11))</f>
        <v>2</v>
      </c>
      <c r="I41" s="121">
        <f>IF(I$11=0,0,INDEX(Inputs!$I$76:$M$76,I$11))</f>
        <v>0.75</v>
      </c>
      <c r="J41" s="121">
        <f>IF(J$11=0,0,INDEX(Inputs!$I$76:$M$76,J$11))</f>
        <v>0.75</v>
      </c>
      <c r="K41" s="121">
        <f>IF(K$11=0,0,INDEX(Inputs!$I$76:$M$76,K$11))</f>
        <v>0.75</v>
      </c>
      <c r="L41" s="121">
        <f>IF(L$11=0,0,INDEX(Inputs!$I$76:$M$76,L$11))</f>
        <v>0.75</v>
      </c>
      <c r="M41" s="121">
        <f>IF(M$11=0,0,INDEX(Inputs!$I$76:$M$76,M$11))</f>
        <v>0.75</v>
      </c>
      <c r="N41" s="121">
        <f>IF(N$11=0,0,INDEX(Inputs!$I$76:$M$76,N$11))</f>
        <v>0.5</v>
      </c>
      <c r="O41" s="121">
        <f>IF(O$11=0,0,INDEX(Inputs!$I$76:$M$76,O$11))</f>
        <v>0.5</v>
      </c>
      <c r="P41" s="121">
        <f>IF(P$11=0,0,INDEX(Inputs!$I$76:$M$76,P$11))</f>
        <v>0.25</v>
      </c>
      <c r="Q41" s="121">
        <f>IF(Q$11=0,0,INDEX(Inputs!$I$76:$M$76,Q$11))</f>
        <v>0.25</v>
      </c>
      <c r="R41" s="121">
        <f>IF(R$11=0,0,INDEX(Inputs!$I$76:$M$76,R$11))</f>
        <v>0</v>
      </c>
      <c r="S41" s="121">
        <f>IF(S$11=0,0,INDEX(Inputs!$I$76:$M$76,S$11))</f>
        <v>0</v>
      </c>
      <c r="T41" s="121">
        <f>IF(T$11=0,0,INDEX(Inputs!$I$76:$M$76,T$11))</f>
        <v>0</v>
      </c>
    </row>
    <row r="42">
      <c r="B42" s="119" t="str">
        <f>Inputs!$B$77</f>
        <v>iOS development</v>
      </c>
      <c r="C42" s="14" t="inlineStr">
        <is>
          <t>FTE</t>
        </is>
      </c>
      <c r="D42" s="120">
        <f>SUM(F42:T42)</f>
        <v>16</v>
      </c>
      <c r="E42" s="6" t="n"/>
      <c r="F42" s="121">
        <f>IF(F$11=0,0,INDEX(Inputs!$I$77:$M$77,F$11))</f>
        <v>0</v>
      </c>
      <c r="G42" s="121">
        <f>IF(G$11=0,0,INDEX(Inputs!$I$77:$M$77,G$11))</f>
        <v>0.5</v>
      </c>
      <c r="H42" s="121">
        <f>IF(H$11=0,0,INDEX(Inputs!$I$77:$M$77,H$11))</f>
        <v>0.5</v>
      </c>
      <c r="I42" s="121">
        <f>IF(I$11=0,0,INDEX(Inputs!$I$77:$M$77,I$11))</f>
        <v>2</v>
      </c>
      <c r="J42" s="121">
        <f>IF(J$11=0,0,INDEX(Inputs!$I$77:$M$77,J$11))</f>
        <v>2</v>
      </c>
      <c r="K42" s="121">
        <f>IF(K$11=0,0,INDEX(Inputs!$I$77:$M$77,K$11))</f>
        <v>2</v>
      </c>
      <c r="L42" s="121">
        <f>IF(L$11=0,0,INDEX(Inputs!$I$77:$M$77,L$11))</f>
        <v>2</v>
      </c>
      <c r="M42" s="121">
        <f>IF(M$11=0,0,INDEX(Inputs!$I$77:$M$77,M$11))</f>
        <v>2</v>
      </c>
      <c r="N42" s="121">
        <f>IF(N$11=0,0,INDEX(Inputs!$I$77:$M$77,N$11))</f>
        <v>2</v>
      </c>
      <c r="O42" s="121">
        <f>IF(O$11=0,0,INDEX(Inputs!$I$77:$M$77,O$11))</f>
        <v>2</v>
      </c>
      <c r="P42" s="121">
        <f>IF(P$11=0,0,INDEX(Inputs!$I$77:$M$77,P$11))</f>
        <v>0.5</v>
      </c>
      <c r="Q42" s="121">
        <f>IF(Q$11=0,0,INDEX(Inputs!$I$77:$M$77,Q$11))</f>
        <v>0.5</v>
      </c>
      <c r="R42" s="121">
        <f>IF(R$11=0,0,INDEX(Inputs!$I$77:$M$77,R$11))</f>
        <v>0</v>
      </c>
      <c r="S42" s="121">
        <f>IF(S$11=0,0,INDEX(Inputs!$I$77:$M$77,S$11))</f>
        <v>0</v>
      </c>
      <c r="T42" s="121">
        <f>IF(T$11=0,0,INDEX(Inputs!$I$77:$M$77,T$11))</f>
        <v>0</v>
      </c>
    </row>
    <row r="43">
      <c r="B43" s="119" t="str">
        <f>Inputs!$B$78</f>
        <v>Android development</v>
      </c>
      <c r="C43" s="14" t="inlineStr">
        <is>
          <t>FTE</t>
        </is>
      </c>
      <c r="D43" s="120">
        <f>SUM(F43:T43)</f>
        <v>19.5</v>
      </c>
      <c r="E43" s="6" t="n"/>
      <c r="F43" s="121">
        <f>IF(F$11=0,0,INDEX(Inputs!$I$78:$M$78,F$11))</f>
        <v>0</v>
      </c>
      <c r="G43" s="121">
        <f>IF(G$11=0,0,INDEX(Inputs!$I$78:$M$78,G$11))</f>
        <v>0.5</v>
      </c>
      <c r="H43" s="121">
        <f>IF(H$11=0,0,INDEX(Inputs!$I$78:$M$78,H$11))</f>
        <v>0.5</v>
      </c>
      <c r="I43" s="121">
        <f>IF(I$11=0,0,INDEX(Inputs!$I$78:$M$78,I$11))</f>
        <v>2.5</v>
      </c>
      <c r="J43" s="121">
        <f>IF(J$11=0,0,INDEX(Inputs!$I$78:$M$78,J$11))</f>
        <v>2.5</v>
      </c>
      <c r="K43" s="121">
        <f>IF(K$11=0,0,INDEX(Inputs!$I$78:$M$78,K$11))</f>
        <v>2.5</v>
      </c>
      <c r="L43" s="121">
        <f>IF(L$11=0,0,INDEX(Inputs!$I$78:$M$78,L$11))</f>
        <v>2.5</v>
      </c>
      <c r="M43" s="121">
        <f>IF(M$11=0,0,INDEX(Inputs!$I$78:$M$78,M$11))</f>
        <v>2.5</v>
      </c>
      <c r="N43" s="121">
        <f>IF(N$11=0,0,INDEX(Inputs!$I$78:$M$78,N$11))</f>
        <v>2.5</v>
      </c>
      <c r="O43" s="121">
        <f>IF(O$11=0,0,INDEX(Inputs!$I$78:$M$78,O$11))</f>
        <v>2.5</v>
      </c>
      <c r="P43" s="121">
        <f>IF(P$11=0,0,INDEX(Inputs!$I$78:$M$78,P$11))</f>
        <v>0.5</v>
      </c>
      <c r="Q43" s="121">
        <f>IF(Q$11=0,0,INDEX(Inputs!$I$78:$M$78,Q$11))</f>
        <v>0.5</v>
      </c>
      <c r="R43" s="121">
        <f>IF(R$11=0,0,INDEX(Inputs!$I$78:$M$78,R$11))</f>
        <v>0</v>
      </c>
      <c r="S43" s="121">
        <f>IF(S$11=0,0,INDEX(Inputs!$I$78:$M$78,S$11))</f>
        <v>0</v>
      </c>
      <c r="T43" s="121">
        <f>IF(T$11=0,0,INDEX(Inputs!$I$78:$M$78,T$11))</f>
        <v>0</v>
      </c>
    </row>
    <row r="44">
      <c r="B44" s="119" t="str">
        <f>Inputs!$B$79</f>
        <v>Backend &amp; integrations</v>
      </c>
      <c r="C44" s="14" t="inlineStr">
        <is>
          <t>FTE</t>
        </is>
      </c>
      <c r="D44" s="120">
        <f>SUM(F44:T44)</f>
        <v>23.5</v>
      </c>
      <c r="E44" s="6" t="n"/>
      <c r="F44" s="121">
        <f>IF(F$11=0,0,INDEX(Inputs!$I$79:$M$79,F$11))</f>
        <v>0.5</v>
      </c>
      <c r="G44" s="121">
        <f>IF(G$11=0,0,INDEX(Inputs!$I$79:$M$79,G$11))</f>
        <v>1</v>
      </c>
      <c r="H44" s="121">
        <f>IF(H$11=0,0,INDEX(Inputs!$I$79:$M$79,H$11))</f>
        <v>1</v>
      </c>
      <c r="I44" s="121">
        <f>IF(I$11=0,0,INDEX(Inputs!$I$79:$M$79,I$11))</f>
        <v>3</v>
      </c>
      <c r="J44" s="121">
        <f>IF(J$11=0,0,INDEX(Inputs!$I$79:$M$79,J$11))</f>
        <v>3</v>
      </c>
      <c r="K44" s="121">
        <f>IF(K$11=0,0,INDEX(Inputs!$I$79:$M$79,K$11))</f>
        <v>3</v>
      </c>
      <c r="L44" s="121">
        <f>IF(L$11=0,0,INDEX(Inputs!$I$79:$M$79,L$11))</f>
        <v>3</v>
      </c>
      <c r="M44" s="121">
        <f>IF(M$11=0,0,INDEX(Inputs!$I$79:$M$79,M$11))</f>
        <v>3</v>
      </c>
      <c r="N44" s="121">
        <f>IF(N$11=0,0,INDEX(Inputs!$I$79:$M$79,N$11))</f>
        <v>2</v>
      </c>
      <c r="O44" s="121">
        <f>IF(O$11=0,0,INDEX(Inputs!$I$79:$M$79,O$11))</f>
        <v>2</v>
      </c>
      <c r="P44" s="121">
        <f>IF(P$11=0,0,INDEX(Inputs!$I$79:$M$79,P$11))</f>
        <v>1</v>
      </c>
      <c r="Q44" s="121">
        <f>IF(Q$11=0,0,INDEX(Inputs!$I$79:$M$79,Q$11))</f>
        <v>1</v>
      </c>
      <c r="R44" s="121">
        <f>IF(R$11=0,0,INDEX(Inputs!$I$79:$M$79,R$11))</f>
        <v>0</v>
      </c>
      <c r="S44" s="121">
        <f>IF(S$11=0,0,INDEX(Inputs!$I$79:$M$79,S$11))</f>
        <v>0</v>
      </c>
      <c r="T44" s="121">
        <f>IF(T$11=0,0,INDEX(Inputs!$I$79:$M$79,T$11))</f>
        <v>0</v>
      </c>
    </row>
    <row r="45">
      <c r="B45" s="119" t="str">
        <f>Inputs!$B$80</f>
        <v>Quality assurance</v>
      </c>
      <c r="C45" s="14" t="inlineStr">
        <is>
          <t>FTE</t>
        </is>
      </c>
      <c r="D45" s="120">
        <f>SUM(F45:T45)</f>
        <v>15</v>
      </c>
      <c r="E45" s="6" t="n"/>
      <c r="F45" s="121">
        <f>IF(F$11=0,0,INDEX(Inputs!$I$80:$M$80,F$11))</f>
        <v>0</v>
      </c>
      <c r="G45" s="121">
        <f>IF(G$11=0,0,INDEX(Inputs!$I$80:$M$80,G$11))</f>
        <v>0</v>
      </c>
      <c r="H45" s="121">
        <f>IF(H$11=0,0,INDEX(Inputs!$I$80:$M$80,H$11))</f>
        <v>0</v>
      </c>
      <c r="I45" s="121">
        <f>IF(I$11=0,0,INDEX(Inputs!$I$80:$M$80,I$11))</f>
        <v>2</v>
      </c>
      <c r="J45" s="121">
        <f>IF(J$11=0,0,INDEX(Inputs!$I$80:$M$80,J$11))</f>
        <v>2</v>
      </c>
      <c r="K45" s="121">
        <f>IF(K$11=0,0,INDEX(Inputs!$I$80:$M$80,K$11))</f>
        <v>2</v>
      </c>
      <c r="L45" s="121">
        <f>IF(L$11=0,0,INDEX(Inputs!$I$80:$M$80,L$11))</f>
        <v>2</v>
      </c>
      <c r="M45" s="121">
        <f>IF(M$11=0,0,INDEX(Inputs!$I$80:$M$80,M$11))</f>
        <v>2</v>
      </c>
      <c r="N45" s="121">
        <f>IF(N$11=0,0,INDEX(Inputs!$I$80:$M$80,N$11))</f>
        <v>2</v>
      </c>
      <c r="O45" s="121">
        <f>IF(O$11=0,0,INDEX(Inputs!$I$80:$M$80,O$11))</f>
        <v>2</v>
      </c>
      <c r="P45" s="121">
        <f>IF(P$11=0,0,INDEX(Inputs!$I$80:$M$80,P$11))</f>
        <v>0.5</v>
      </c>
      <c r="Q45" s="121">
        <f>IF(Q$11=0,0,INDEX(Inputs!$I$80:$M$80,Q$11))</f>
        <v>0.5</v>
      </c>
      <c r="R45" s="121">
        <f>IF(R$11=0,0,INDEX(Inputs!$I$80:$M$80,R$11))</f>
        <v>0</v>
      </c>
      <c r="S45" s="121">
        <f>IF(S$11=0,0,INDEX(Inputs!$I$80:$M$80,S$11))</f>
        <v>0</v>
      </c>
      <c r="T45" s="121">
        <f>IF(T$11=0,0,INDEX(Inputs!$I$80:$M$80,T$11))</f>
        <v>0</v>
      </c>
    </row>
    <row r="46">
      <c r="B46" s="119" t="str">
        <f>Inputs!$B$81</f>
        <v>Cloud &amp; DevOps</v>
      </c>
      <c r="C46" s="14" t="inlineStr">
        <is>
          <t>FTE</t>
        </is>
      </c>
      <c r="D46" s="120">
        <f>SUM(F46:T46)</f>
        <v>6.25</v>
      </c>
      <c r="E46" s="6" t="n"/>
      <c r="F46" s="121">
        <f>IF(F$11=0,0,INDEX(Inputs!$I$81:$M$81,F$11))</f>
        <v>0.25</v>
      </c>
      <c r="G46" s="121">
        <f>IF(G$11=0,0,INDEX(Inputs!$I$81:$M$81,G$11))</f>
        <v>0.25</v>
      </c>
      <c r="H46" s="121">
        <f>IF(H$11=0,0,INDEX(Inputs!$I$81:$M$81,H$11))</f>
        <v>0.25</v>
      </c>
      <c r="I46" s="121">
        <f>IF(I$11=0,0,INDEX(Inputs!$I$81:$M$81,I$11))</f>
        <v>0.5</v>
      </c>
      <c r="J46" s="121">
        <f>IF(J$11=0,0,INDEX(Inputs!$I$81:$M$81,J$11))</f>
        <v>0.5</v>
      </c>
      <c r="K46" s="121">
        <f>IF(K$11=0,0,INDEX(Inputs!$I$81:$M$81,K$11))</f>
        <v>0.5</v>
      </c>
      <c r="L46" s="121">
        <f>IF(L$11=0,0,INDEX(Inputs!$I$81:$M$81,L$11))</f>
        <v>0.5</v>
      </c>
      <c r="M46" s="121">
        <f>IF(M$11=0,0,INDEX(Inputs!$I$81:$M$81,M$11))</f>
        <v>0.5</v>
      </c>
      <c r="N46" s="121">
        <f>IF(N$11=0,0,INDEX(Inputs!$I$81:$M$81,N$11))</f>
        <v>1</v>
      </c>
      <c r="O46" s="121">
        <f>IF(O$11=0,0,INDEX(Inputs!$I$81:$M$81,O$11))</f>
        <v>1</v>
      </c>
      <c r="P46" s="121">
        <f>IF(P$11=0,0,INDEX(Inputs!$I$81:$M$81,P$11))</f>
        <v>0.5</v>
      </c>
      <c r="Q46" s="121">
        <f>IF(Q$11=0,0,INDEX(Inputs!$I$81:$M$81,Q$11))</f>
        <v>0.5</v>
      </c>
      <c r="R46" s="121">
        <f>IF(R$11=0,0,INDEX(Inputs!$I$81:$M$81,R$11))</f>
        <v>0</v>
      </c>
      <c r="S46" s="121">
        <f>IF(S$11=0,0,INDEX(Inputs!$I$81:$M$81,S$11))</f>
        <v>0</v>
      </c>
      <c r="T46" s="121">
        <f>IF(T$11=0,0,INDEX(Inputs!$I$81:$M$81,T$11))</f>
        <v>0</v>
      </c>
    </row>
    <row r="47">
      <c r="B47" s="119" t="str">
        <f>Inputs!$B$82</f>
        <v>Engineering lead</v>
      </c>
      <c r="C47" s="14" t="inlineStr">
        <is>
          <t>FTE</t>
        </is>
      </c>
      <c r="D47" s="120">
        <f>SUM(F47:T47)</f>
        <v>10.5</v>
      </c>
      <c r="E47" s="6" t="n"/>
      <c r="F47" s="121">
        <f>IF(F$11=0,0,INDEX(Inputs!$I$82:$M$82,F$11))</f>
        <v>0.5</v>
      </c>
      <c r="G47" s="121">
        <f>IF(G$11=0,0,INDEX(Inputs!$I$82:$M$82,G$11))</f>
        <v>1</v>
      </c>
      <c r="H47" s="121">
        <f>IF(H$11=0,0,INDEX(Inputs!$I$82:$M$82,H$11))</f>
        <v>1</v>
      </c>
      <c r="I47" s="121">
        <f>IF(I$11=0,0,INDEX(Inputs!$I$82:$M$82,I$11))</f>
        <v>1</v>
      </c>
      <c r="J47" s="121">
        <f>IF(J$11=0,0,INDEX(Inputs!$I$82:$M$82,J$11))</f>
        <v>1</v>
      </c>
      <c r="K47" s="121">
        <f>IF(K$11=0,0,INDEX(Inputs!$I$82:$M$82,K$11))</f>
        <v>1</v>
      </c>
      <c r="L47" s="121">
        <f>IF(L$11=0,0,INDEX(Inputs!$I$82:$M$82,L$11))</f>
        <v>1</v>
      </c>
      <c r="M47" s="121">
        <f>IF(M$11=0,0,INDEX(Inputs!$I$82:$M$82,M$11))</f>
        <v>1</v>
      </c>
      <c r="N47" s="121">
        <f>IF(N$11=0,0,INDEX(Inputs!$I$82:$M$82,N$11))</f>
        <v>1</v>
      </c>
      <c r="O47" s="121">
        <f>IF(O$11=0,0,INDEX(Inputs!$I$82:$M$82,O$11))</f>
        <v>1</v>
      </c>
      <c r="P47" s="121">
        <f>IF(P$11=0,0,INDEX(Inputs!$I$82:$M$82,P$11))</f>
        <v>0.5</v>
      </c>
      <c r="Q47" s="121">
        <f>IF(Q$11=0,0,INDEX(Inputs!$I$82:$M$82,Q$11))</f>
        <v>0.5</v>
      </c>
      <c r="R47" s="121">
        <f>IF(R$11=0,0,INDEX(Inputs!$I$82:$M$82,R$11))</f>
        <v>0</v>
      </c>
      <c r="S47" s="121">
        <f>IF(S$11=0,0,INDEX(Inputs!$I$82:$M$82,S$11))</f>
        <v>0</v>
      </c>
      <c r="T47" s="121">
        <f>IF(T$11=0,0,INDEX(Inputs!$I$82:$M$82,T$11))</f>
        <v>0</v>
      </c>
    </row>
    <row r="48">
      <c r="B48" s="60" t="inlineStr">
        <is>
          <t>Team size</t>
        </is>
      </c>
      <c r="C48" s="75" t="n"/>
      <c r="D48" s="122">
        <f>SUM(D40:D47)</f>
        <v>112</v>
      </c>
      <c r="E48" s="75" t="n"/>
      <c r="F48" s="122">
        <f>SUM(F40:F47)</f>
        <v>3.25</v>
      </c>
      <c r="G48" s="122">
        <f>SUM(G40:G47)</f>
        <v>6.25</v>
      </c>
      <c r="H48" s="122">
        <f>SUM(H40:H47)</f>
        <v>6.25</v>
      </c>
      <c r="I48" s="122">
        <f>SUM(I40:I47)</f>
        <v>12.75</v>
      </c>
      <c r="J48" s="122">
        <f>SUM(J40:J47)</f>
        <v>12.75</v>
      </c>
      <c r="K48" s="122">
        <f>SUM(K40:K47)</f>
        <v>12.75</v>
      </c>
      <c r="L48" s="122">
        <f>SUM(L40:L47)</f>
        <v>12.75</v>
      </c>
      <c r="M48" s="122">
        <f>SUM(M40:M47)</f>
        <v>12.75</v>
      </c>
      <c r="N48" s="122">
        <f>SUM(N40:N47)</f>
        <v>12</v>
      </c>
      <c r="O48" s="122">
        <f>SUM(O40:O47)</f>
        <v>12</v>
      </c>
      <c r="P48" s="122">
        <f>SUM(P40:P47)</f>
        <v>4.25</v>
      </c>
      <c r="Q48" s="122">
        <f>SUM(Q40:Q47)</f>
        <v>4.25</v>
      </c>
      <c r="R48" s="122">
        <f>SUM(R40:R47)</f>
        <v>0</v>
      </c>
      <c r="S48" s="122">
        <f>SUM(S40:S47)</f>
        <v>0</v>
      </c>
      <c r="T48" s="122">
        <f>SUM(T40:T47)</f>
        <v>0</v>
      </c>
    </row>
    <row r="49"/>
    <row r="50" ht="22" customHeight="1">
      <c r="B50" s="39" t="inlineStr">
        <is>
          <t>4  Team, current plan: cost</t>
        </is>
      </c>
      <c r="C50" s="40" t="n"/>
      <c r="D50" s="40" t="n"/>
      <c r="E50" s="40" t="n"/>
      <c r="F50" s="40" t="n"/>
      <c r="G50" s="40" t="n"/>
      <c r="H50" s="40" t="n"/>
      <c r="I50" s="40" t="n"/>
      <c r="J50" s="40" t="n"/>
      <c r="K50" s="40" t="n"/>
      <c r="L50" s="40" t="n"/>
      <c r="M50" s="40" t="n"/>
      <c r="N50" s="40" t="n"/>
      <c r="O50" s="40" t="n"/>
      <c r="P50" s="40" t="n"/>
      <c r="Q50" s="40" t="n"/>
      <c r="R50" s="40" t="n"/>
      <c r="S50" s="40" t="n"/>
      <c r="T50" s="40" t="n"/>
    </row>
    <row r="51">
      <c r="B51" s="41" t="inlineStr">
        <is>
          <t>FTE × forecast cost per FTE month (current rates and the what-if rate change).</t>
        </is>
      </c>
    </row>
    <row r="52">
      <c r="B52" s="119" t="str">
        <f>Inputs!$B$62</f>
        <v>Product management</v>
      </c>
      <c r="C52" s="123" t="str">
        <f>Inputs!$C$62</f>
        <v>Internal</v>
      </c>
      <c r="D52" s="69">
        <f>SUM(F52:T52)</f>
        <v>159500</v>
      </c>
      <c r="E52" s="6" t="n"/>
      <c r="F52" s="57">
        <f>F40*Inputs!$H$62</f>
        <v>14500</v>
      </c>
      <c r="G52" s="57">
        <f>G40*Inputs!$H$62</f>
        <v>14500</v>
      </c>
      <c r="H52" s="57">
        <f>H40*Inputs!$H$62</f>
        <v>14500</v>
      </c>
      <c r="I52" s="57">
        <f>I40*Inputs!$H$62</f>
        <v>14500</v>
      </c>
      <c r="J52" s="57">
        <f>J40*Inputs!$H$62</f>
        <v>14500</v>
      </c>
      <c r="K52" s="57">
        <f>K40*Inputs!$H$62</f>
        <v>14500</v>
      </c>
      <c r="L52" s="57">
        <f>L40*Inputs!$H$62</f>
        <v>14500</v>
      </c>
      <c r="M52" s="57">
        <f>M40*Inputs!$H$62</f>
        <v>14500</v>
      </c>
      <c r="N52" s="57">
        <f>N40*Inputs!$H$62</f>
        <v>14500</v>
      </c>
      <c r="O52" s="57">
        <f>O40*Inputs!$H$62</f>
        <v>14500</v>
      </c>
      <c r="P52" s="57">
        <f>P40*Inputs!$H$62</f>
        <v>7250</v>
      </c>
      <c r="Q52" s="57">
        <f>Q40*Inputs!$H$62</f>
        <v>7250</v>
      </c>
      <c r="R52" s="57">
        <f>R40*Inputs!$H$62</f>
        <v>0</v>
      </c>
      <c r="S52" s="57">
        <f>S40*Inputs!$H$62</f>
        <v>0</v>
      </c>
      <c r="T52" s="57">
        <f>T40*Inputs!$H$62</f>
        <v>0</v>
      </c>
    </row>
    <row r="53">
      <c r="B53" s="119" t="str">
        <f>Inputs!$B$63</f>
        <v>Product design</v>
      </c>
      <c r="C53" s="123" t="str">
        <f>Inputs!$C$63</f>
        <v>Internal</v>
      </c>
      <c r="D53" s="69">
        <f>SUM(F53:T53)</f>
        <v>128125</v>
      </c>
      <c r="E53" s="6" t="n"/>
      <c r="F53" s="57">
        <f>F41*Inputs!$H$63</f>
        <v>12500</v>
      </c>
      <c r="G53" s="57">
        <f>G41*Inputs!$H$63</f>
        <v>25000</v>
      </c>
      <c r="H53" s="57">
        <f>H41*Inputs!$H$63</f>
        <v>25000</v>
      </c>
      <c r="I53" s="57">
        <f>I41*Inputs!$H$63</f>
        <v>9375</v>
      </c>
      <c r="J53" s="57">
        <f>J41*Inputs!$H$63</f>
        <v>9375</v>
      </c>
      <c r="K53" s="57">
        <f>K41*Inputs!$H$63</f>
        <v>9375</v>
      </c>
      <c r="L53" s="57">
        <f>L41*Inputs!$H$63</f>
        <v>9375</v>
      </c>
      <c r="M53" s="57">
        <f>M41*Inputs!$H$63</f>
        <v>9375</v>
      </c>
      <c r="N53" s="57">
        <f>N41*Inputs!$H$63</f>
        <v>6250</v>
      </c>
      <c r="O53" s="57">
        <f>O41*Inputs!$H$63</f>
        <v>6250</v>
      </c>
      <c r="P53" s="57">
        <f>P41*Inputs!$H$63</f>
        <v>3125</v>
      </c>
      <c r="Q53" s="57">
        <f>Q41*Inputs!$H$63</f>
        <v>3125</v>
      </c>
      <c r="R53" s="57">
        <f>R41*Inputs!$H$63</f>
        <v>0</v>
      </c>
      <c r="S53" s="57">
        <f>S41*Inputs!$H$63</f>
        <v>0</v>
      </c>
      <c r="T53" s="57">
        <f>T41*Inputs!$H$63</f>
        <v>0</v>
      </c>
    </row>
    <row r="54">
      <c r="B54" s="119" t="str">
        <f>Inputs!$B$64</f>
        <v>iOS development</v>
      </c>
      <c r="C54" s="123" t="str">
        <f>Inputs!$C$64</f>
        <v>Contractor</v>
      </c>
      <c r="D54" s="69">
        <f>SUM(F54:T54)</f>
        <v>224640</v>
      </c>
      <c r="E54" s="6" t="n"/>
      <c r="F54" s="57">
        <f>F42*Inputs!$H$64</f>
        <v>0</v>
      </c>
      <c r="G54" s="57">
        <f>G42*Inputs!$H$64</f>
        <v>7020</v>
      </c>
      <c r="H54" s="57">
        <f>H42*Inputs!$H$64</f>
        <v>7020</v>
      </c>
      <c r="I54" s="57">
        <f>I42*Inputs!$H$64</f>
        <v>28080</v>
      </c>
      <c r="J54" s="57">
        <f>J42*Inputs!$H$64</f>
        <v>28080</v>
      </c>
      <c r="K54" s="57">
        <f>K42*Inputs!$H$64</f>
        <v>28080</v>
      </c>
      <c r="L54" s="57">
        <f>L42*Inputs!$H$64</f>
        <v>28080</v>
      </c>
      <c r="M54" s="57">
        <f>M42*Inputs!$H$64</f>
        <v>28080</v>
      </c>
      <c r="N54" s="57">
        <f>N42*Inputs!$H$64</f>
        <v>28080</v>
      </c>
      <c r="O54" s="57">
        <f>O42*Inputs!$H$64</f>
        <v>28080</v>
      </c>
      <c r="P54" s="57">
        <f>P42*Inputs!$H$64</f>
        <v>7020</v>
      </c>
      <c r="Q54" s="57">
        <f>Q42*Inputs!$H$64</f>
        <v>7020</v>
      </c>
      <c r="R54" s="57">
        <f>R42*Inputs!$H$64</f>
        <v>0</v>
      </c>
      <c r="S54" s="57">
        <f>S42*Inputs!$H$64</f>
        <v>0</v>
      </c>
      <c r="T54" s="57">
        <f>T42*Inputs!$H$64</f>
        <v>0</v>
      </c>
    </row>
    <row r="55">
      <c r="B55" s="119" t="str">
        <f>Inputs!$B$65</f>
        <v>Android development</v>
      </c>
      <c r="C55" s="123" t="str">
        <f>Inputs!$C$65</f>
        <v>Contractor</v>
      </c>
      <c r="D55" s="69">
        <f>SUM(F55:T55)</f>
        <v>266760</v>
      </c>
      <c r="E55" s="6" t="n"/>
      <c r="F55" s="57">
        <f>F43*Inputs!$H$65</f>
        <v>0</v>
      </c>
      <c r="G55" s="57">
        <f>G43*Inputs!$H$65</f>
        <v>6840</v>
      </c>
      <c r="H55" s="57">
        <f>H43*Inputs!$H$65</f>
        <v>6840</v>
      </c>
      <c r="I55" s="57">
        <f>I43*Inputs!$H$65</f>
        <v>34200</v>
      </c>
      <c r="J55" s="57">
        <f>J43*Inputs!$H$65</f>
        <v>34200</v>
      </c>
      <c r="K55" s="57">
        <f>K43*Inputs!$H$65</f>
        <v>34200</v>
      </c>
      <c r="L55" s="57">
        <f>L43*Inputs!$H$65</f>
        <v>34200</v>
      </c>
      <c r="M55" s="57">
        <f>M43*Inputs!$H$65</f>
        <v>34200</v>
      </c>
      <c r="N55" s="57">
        <f>N43*Inputs!$H$65</f>
        <v>34200</v>
      </c>
      <c r="O55" s="57">
        <f>O43*Inputs!$H$65</f>
        <v>34200</v>
      </c>
      <c r="P55" s="57">
        <f>P43*Inputs!$H$65</f>
        <v>6840</v>
      </c>
      <c r="Q55" s="57">
        <f>Q43*Inputs!$H$65</f>
        <v>6840</v>
      </c>
      <c r="R55" s="57">
        <f>R43*Inputs!$H$65</f>
        <v>0</v>
      </c>
      <c r="S55" s="57">
        <f>S43*Inputs!$H$65</f>
        <v>0</v>
      </c>
      <c r="T55" s="57">
        <f>T43*Inputs!$H$65</f>
        <v>0</v>
      </c>
    </row>
    <row r="56">
      <c r="B56" s="119" t="str">
        <f>Inputs!$B$66</f>
        <v>Backend &amp; integrations</v>
      </c>
      <c r="C56" s="123" t="str">
        <f>Inputs!$C$66</f>
        <v>Internal</v>
      </c>
      <c r="D56" s="69">
        <f>SUM(F56:T56)</f>
        <v>329000</v>
      </c>
      <c r="E56" s="6" t="n"/>
      <c r="F56" s="57">
        <f>F44*Inputs!$H$66</f>
        <v>7000</v>
      </c>
      <c r="G56" s="57">
        <f>G44*Inputs!$H$66</f>
        <v>14000</v>
      </c>
      <c r="H56" s="57">
        <f>H44*Inputs!$H$66</f>
        <v>14000</v>
      </c>
      <c r="I56" s="57">
        <f>I44*Inputs!$H$66</f>
        <v>42000</v>
      </c>
      <c r="J56" s="57">
        <f>J44*Inputs!$H$66</f>
        <v>42000</v>
      </c>
      <c r="K56" s="57">
        <f>K44*Inputs!$H$66</f>
        <v>42000</v>
      </c>
      <c r="L56" s="57">
        <f>L44*Inputs!$H$66</f>
        <v>42000</v>
      </c>
      <c r="M56" s="57">
        <f>M44*Inputs!$H$66</f>
        <v>42000</v>
      </c>
      <c r="N56" s="57">
        <f>N44*Inputs!$H$66</f>
        <v>28000</v>
      </c>
      <c r="O56" s="57">
        <f>O44*Inputs!$H$66</f>
        <v>28000</v>
      </c>
      <c r="P56" s="57">
        <f>P44*Inputs!$H$66</f>
        <v>14000</v>
      </c>
      <c r="Q56" s="57">
        <f>Q44*Inputs!$H$66</f>
        <v>14000</v>
      </c>
      <c r="R56" s="57">
        <f>R44*Inputs!$H$66</f>
        <v>0</v>
      </c>
      <c r="S56" s="57">
        <f>S44*Inputs!$H$66</f>
        <v>0</v>
      </c>
      <c r="T56" s="57">
        <f>T44*Inputs!$H$66</f>
        <v>0</v>
      </c>
    </row>
    <row r="57">
      <c r="B57" s="119" t="str">
        <f>Inputs!$B$67</f>
        <v>Quality assurance</v>
      </c>
      <c r="C57" s="123" t="str">
        <f>Inputs!$C$67</f>
        <v>Contractor</v>
      </c>
      <c r="D57" s="69">
        <f>SUM(F57:T57)</f>
        <v>159300</v>
      </c>
      <c r="E57" s="6" t="n"/>
      <c r="F57" s="57">
        <f>F45*Inputs!$H$67</f>
        <v>0</v>
      </c>
      <c r="G57" s="57">
        <f>G45*Inputs!$H$67</f>
        <v>0</v>
      </c>
      <c r="H57" s="57">
        <f>H45*Inputs!$H$67</f>
        <v>0</v>
      </c>
      <c r="I57" s="57">
        <f>I45*Inputs!$H$67</f>
        <v>21240</v>
      </c>
      <c r="J57" s="57">
        <f>J45*Inputs!$H$67</f>
        <v>21240</v>
      </c>
      <c r="K57" s="57">
        <f>K45*Inputs!$H$67</f>
        <v>21240</v>
      </c>
      <c r="L57" s="57">
        <f>L45*Inputs!$H$67</f>
        <v>21240</v>
      </c>
      <c r="M57" s="57">
        <f>M45*Inputs!$H$67</f>
        <v>21240</v>
      </c>
      <c r="N57" s="57">
        <f>N45*Inputs!$H$67</f>
        <v>21240</v>
      </c>
      <c r="O57" s="57">
        <f>O45*Inputs!$H$67</f>
        <v>21240</v>
      </c>
      <c r="P57" s="57">
        <f>P45*Inputs!$H$67</f>
        <v>5310</v>
      </c>
      <c r="Q57" s="57">
        <f>Q45*Inputs!$H$67</f>
        <v>5310</v>
      </c>
      <c r="R57" s="57">
        <f>R45*Inputs!$H$67</f>
        <v>0</v>
      </c>
      <c r="S57" s="57">
        <f>S45*Inputs!$H$67</f>
        <v>0</v>
      </c>
      <c r="T57" s="57">
        <f>T45*Inputs!$H$67</f>
        <v>0</v>
      </c>
    </row>
    <row r="58">
      <c r="B58" s="119" t="str">
        <f>Inputs!$B$68</f>
        <v>Cloud &amp; DevOps</v>
      </c>
      <c r="C58" s="123" t="str">
        <f>Inputs!$C$68</f>
        <v>Internal</v>
      </c>
      <c r="D58" s="69">
        <f>SUM(F58:T58)</f>
        <v>90625</v>
      </c>
      <c r="E58" s="6" t="n"/>
      <c r="F58" s="57">
        <f>F46*Inputs!$H$68</f>
        <v>3625</v>
      </c>
      <c r="G58" s="57">
        <f>G46*Inputs!$H$68</f>
        <v>3625</v>
      </c>
      <c r="H58" s="57">
        <f>H46*Inputs!$H$68</f>
        <v>3625</v>
      </c>
      <c r="I58" s="57">
        <f>I46*Inputs!$H$68</f>
        <v>7250</v>
      </c>
      <c r="J58" s="57">
        <f>J46*Inputs!$H$68</f>
        <v>7250</v>
      </c>
      <c r="K58" s="57">
        <f>K46*Inputs!$H$68</f>
        <v>7250</v>
      </c>
      <c r="L58" s="57">
        <f>L46*Inputs!$H$68</f>
        <v>7250</v>
      </c>
      <c r="M58" s="57">
        <f>M46*Inputs!$H$68</f>
        <v>7250</v>
      </c>
      <c r="N58" s="57">
        <f>N46*Inputs!$H$68</f>
        <v>14500</v>
      </c>
      <c r="O58" s="57">
        <f>O46*Inputs!$H$68</f>
        <v>14500</v>
      </c>
      <c r="P58" s="57">
        <f>P46*Inputs!$H$68</f>
        <v>7250</v>
      </c>
      <c r="Q58" s="57">
        <f>Q46*Inputs!$H$68</f>
        <v>7250</v>
      </c>
      <c r="R58" s="57">
        <f>R46*Inputs!$H$68</f>
        <v>0</v>
      </c>
      <c r="S58" s="57">
        <f>S46*Inputs!$H$68</f>
        <v>0</v>
      </c>
      <c r="T58" s="57">
        <f>T46*Inputs!$H$68</f>
        <v>0</v>
      </c>
    </row>
    <row r="59">
      <c r="B59" s="119" t="str">
        <f>Inputs!$B$69</f>
        <v>Engineering lead</v>
      </c>
      <c r="C59" s="123" t="str">
        <f>Inputs!$C$69</f>
        <v>Internal</v>
      </c>
      <c r="D59" s="69">
        <f>SUM(F59:T59)</f>
        <v>173250</v>
      </c>
      <c r="E59" s="6" t="n"/>
      <c r="F59" s="57">
        <f>F47*Inputs!$H$69</f>
        <v>8250</v>
      </c>
      <c r="G59" s="57">
        <f>G47*Inputs!$H$69</f>
        <v>16500</v>
      </c>
      <c r="H59" s="57">
        <f>H47*Inputs!$H$69</f>
        <v>16500</v>
      </c>
      <c r="I59" s="57">
        <f>I47*Inputs!$H$69</f>
        <v>16500</v>
      </c>
      <c r="J59" s="57">
        <f>J47*Inputs!$H$69</f>
        <v>16500</v>
      </c>
      <c r="K59" s="57">
        <f>K47*Inputs!$H$69</f>
        <v>16500</v>
      </c>
      <c r="L59" s="57">
        <f>L47*Inputs!$H$69</f>
        <v>16500</v>
      </c>
      <c r="M59" s="57">
        <f>M47*Inputs!$H$69</f>
        <v>16500</v>
      </c>
      <c r="N59" s="57">
        <f>N47*Inputs!$H$69</f>
        <v>16500</v>
      </c>
      <c r="O59" s="57">
        <f>O47*Inputs!$H$69</f>
        <v>16500</v>
      </c>
      <c r="P59" s="57">
        <f>P47*Inputs!$H$69</f>
        <v>8250</v>
      </c>
      <c r="Q59" s="57">
        <f>Q47*Inputs!$H$69</f>
        <v>8250</v>
      </c>
      <c r="R59" s="57">
        <f>R47*Inputs!$H$69</f>
        <v>0</v>
      </c>
      <c r="S59" s="57">
        <f>S47*Inputs!$H$69</f>
        <v>0</v>
      </c>
      <c r="T59" s="57">
        <f>T47*Inputs!$H$69</f>
        <v>0</v>
      </c>
    </row>
    <row r="60">
      <c r="B60" s="60" t="inlineStr">
        <is>
          <t>Team, current plan</t>
        </is>
      </c>
      <c r="C60" s="75" t="n"/>
      <c r="D60" s="61">
        <f>SUM(D52:D59)</f>
        <v>1531200</v>
      </c>
      <c r="E60" s="75" t="n"/>
      <c r="F60" s="61">
        <f>SUM(F52:F59)</f>
        <v>45875</v>
      </c>
      <c r="G60" s="61">
        <f>SUM(G52:G59)</f>
        <v>87485</v>
      </c>
      <c r="H60" s="61">
        <f>SUM(H52:H59)</f>
        <v>87485</v>
      </c>
      <c r="I60" s="61">
        <f>SUM(I52:I59)</f>
        <v>173145</v>
      </c>
      <c r="J60" s="61">
        <f>SUM(J52:J59)</f>
        <v>173145</v>
      </c>
      <c r="K60" s="61">
        <f>SUM(K52:K59)</f>
        <v>173145</v>
      </c>
      <c r="L60" s="61">
        <f>SUM(L52:L59)</f>
        <v>173145</v>
      </c>
      <c r="M60" s="61">
        <f>SUM(M52:M59)</f>
        <v>173145</v>
      </c>
      <c r="N60" s="61">
        <f>SUM(N52:N59)</f>
        <v>163270</v>
      </c>
      <c r="O60" s="61">
        <f>SUM(O52:O59)</f>
        <v>163270</v>
      </c>
      <c r="P60" s="61">
        <f>SUM(P52:P59)</f>
        <v>59045</v>
      </c>
      <c r="Q60" s="61">
        <f>SUM(Q52:Q59)</f>
        <v>59045</v>
      </c>
      <c r="R60" s="61">
        <f>SUM(R52:R59)</f>
        <v>0</v>
      </c>
      <c r="S60" s="61">
        <f>SUM(S52:S59)</f>
        <v>0</v>
      </c>
      <c r="T60" s="61">
        <f>SUM(T52:T59)</f>
        <v>0</v>
      </c>
    </row>
    <row r="61"/>
    <row r="62" ht="22" customHeight="1">
      <c r="B62" s="39" t="inlineStr">
        <is>
          <t>5  Platform &amp; tools, baseline</t>
        </is>
      </c>
      <c r="C62" s="40" t="n"/>
      <c r="D62" s="40" t="n"/>
      <c r="E62" s="40" t="n"/>
      <c r="F62" s="40" t="n"/>
      <c r="G62" s="40" t="n"/>
      <c r="H62" s="40" t="n"/>
      <c r="I62" s="40" t="n"/>
      <c r="J62" s="40" t="n"/>
      <c r="K62" s="40" t="n"/>
      <c r="L62" s="40" t="n"/>
      <c r="M62" s="40" t="n"/>
      <c r="N62" s="40" t="n"/>
      <c r="O62" s="40" t="n"/>
      <c r="P62" s="40" t="n"/>
      <c r="Q62" s="40" t="n"/>
      <c r="R62" s="40" t="n"/>
      <c r="S62" s="40" t="n"/>
      <c r="T62" s="40" t="n"/>
    </row>
    <row r="63">
      <c r="B63" s="41" t="inlineStr">
        <is>
          <t>Monthly run-rate of the phase each month falls in (Inputs 7).</t>
        </is>
      </c>
    </row>
    <row r="64">
      <c r="B64" s="119" t="str">
        <f>Inputs!$B$89</f>
        <v>Cloud hosting</v>
      </c>
      <c r="C64" s="14" t="inlineStr">
        <is>
          <t>per month</t>
        </is>
      </c>
      <c r="D64" s="69">
        <f>SUM(F64:T64)</f>
        <v>70300</v>
      </c>
      <c r="E64" s="6" t="n"/>
      <c r="F64" s="57">
        <f>IF(F$9=0,0,INDEX(Inputs!$C$89:$G$89,F$9))</f>
        <v>400</v>
      </c>
      <c r="G64" s="57">
        <f>IF(G$9=0,0,INDEX(Inputs!$C$89:$G$89,G$9))</f>
        <v>1200</v>
      </c>
      <c r="H64" s="57">
        <f>IF(H$9=0,0,INDEX(Inputs!$C$89:$G$89,H$9))</f>
        <v>1200</v>
      </c>
      <c r="I64" s="57">
        <f>IF(I$9=0,0,INDEX(Inputs!$C$89:$G$89,I$9))</f>
        <v>5500</v>
      </c>
      <c r="J64" s="57">
        <f>IF(J$9=0,0,INDEX(Inputs!$C$89:$G$89,J$9))</f>
        <v>5500</v>
      </c>
      <c r="K64" s="57">
        <f>IF(K$9=0,0,INDEX(Inputs!$C$89:$G$89,K$9))</f>
        <v>5500</v>
      </c>
      <c r="L64" s="57">
        <f>IF(L$9=0,0,INDEX(Inputs!$C$89:$G$89,L$9))</f>
        <v>5500</v>
      </c>
      <c r="M64" s="57">
        <f>IF(M$9=0,0,INDEX(Inputs!$C$89:$G$89,M$9))</f>
        <v>5500</v>
      </c>
      <c r="N64" s="57">
        <f>IF(N$9=0,0,INDEX(Inputs!$C$89:$G$89,N$9))</f>
        <v>8000</v>
      </c>
      <c r="O64" s="57">
        <f>IF(O$9=0,0,INDEX(Inputs!$C$89:$G$89,O$9))</f>
        <v>8000</v>
      </c>
      <c r="P64" s="57">
        <f>IF(P$9=0,0,INDEX(Inputs!$C$89:$G$89,P$9))</f>
        <v>12000</v>
      </c>
      <c r="Q64" s="57">
        <f>IF(Q$9=0,0,INDEX(Inputs!$C$89:$G$89,Q$9))</f>
        <v>12000</v>
      </c>
      <c r="R64" s="57">
        <f>IF(R$9=0,0,INDEX(Inputs!$C$89:$G$89,R$9))</f>
        <v>0</v>
      </c>
      <c r="S64" s="57">
        <f>IF(S$9=0,0,INDEX(Inputs!$C$89:$G$89,S$9))</f>
        <v>0</v>
      </c>
      <c r="T64" s="57">
        <f>IF(T$9=0,0,INDEX(Inputs!$C$89:$G$89,T$9))</f>
        <v>0</v>
      </c>
    </row>
    <row r="65">
      <c r="B65" s="119" t="str">
        <f>Inputs!$B$90</f>
        <v>Software &amp; tools</v>
      </c>
      <c r="C65" s="14" t="inlineStr">
        <is>
          <t>per month</t>
        </is>
      </c>
      <c r="D65" s="69">
        <f>SUM(F65:T65)</f>
        <v>54000</v>
      </c>
      <c r="E65" s="6" t="n"/>
      <c r="F65" s="57">
        <f>IF(F$9=0,0,INDEX(Inputs!$C$90:$G$90,F$9))</f>
        <v>1800</v>
      </c>
      <c r="G65" s="57">
        <f>IF(G$9=0,0,INDEX(Inputs!$C$90:$G$90,G$9))</f>
        <v>3200</v>
      </c>
      <c r="H65" s="57">
        <f>IF(H$9=0,0,INDEX(Inputs!$C$90:$G$90,H$9))</f>
        <v>3200</v>
      </c>
      <c r="I65" s="57">
        <f>IF(I$9=0,0,INDEX(Inputs!$C$90:$G$90,I$9))</f>
        <v>5400</v>
      </c>
      <c r="J65" s="57">
        <f>IF(J$9=0,0,INDEX(Inputs!$C$90:$G$90,J$9))</f>
        <v>5400</v>
      </c>
      <c r="K65" s="57">
        <f>IF(K$9=0,0,INDEX(Inputs!$C$90:$G$90,K$9))</f>
        <v>5400</v>
      </c>
      <c r="L65" s="57">
        <f>IF(L$9=0,0,INDEX(Inputs!$C$90:$G$90,L$9))</f>
        <v>5400</v>
      </c>
      <c r="M65" s="57">
        <f>IF(M$9=0,0,INDEX(Inputs!$C$90:$G$90,M$9))</f>
        <v>5400</v>
      </c>
      <c r="N65" s="57">
        <f>IF(N$9=0,0,INDEX(Inputs!$C$90:$G$90,N$9))</f>
        <v>5400</v>
      </c>
      <c r="O65" s="57">
        <f>IF(O$9=0,0,INDEX(Inputs!$C$90:$G$90,O$9))</f>
        <v>5400</v>
      </c>
      <c r="P65" s="57">
        <f>IF(P$9=0,0,INDEX(Inputs!$C$90:$G$90,P$9))</f>
        <v>4000</v>
      </c>
      <c r="Q65" s="57">
        <f>IF(Q$9=0,0,INDEX(Inputs!$C$90:$G$90,Q$9))</f>
        <v>4000</v>
      </c>
      <c r="R65" s="57">
        <f>IF(R$9=0,0,INDEX(Inputs!$C$90:$G$90,R$9))</f>
        <v>0</v>
      </c>
      <c r="S65" s="57">
        <f>IF(S$9=0,0,INDEX(Inputs!$C$90:$G$90,S$9))</f>
        <v>0</v>
      </c>
      <c r="T65" s="57">
        <f>IF(T$9=0,0,INDEX(Inputs!$C$90:$G$90,T$9))</f>
        <v>0</v>
      </c>
    </row>
    <row r="66">
      <c r="B66" s="119" t="str">
        <f>Inputs!$B$91</f>
        <v>Third-party services</v>
      </c>
      <c r="C66" s="14" t="inlineStr">
        <is>
          <t>per month</t>
        </is>
      </c>
      <c r="D66" s="69">
        <f>SUM(F66:T66)</f>
        <v>21800</v>
      </c>
      <c r="E66" s="6" t="n"/>
      <c r="F66" s="57">
        <f>IF(F$9=0,0,INDEX(Inputs!$C$91:$G$91,F$9))</f>
        <v>0</v>
      </c>
      <c r="G66" s="57">
        <f>IF(G$9=0,0,INDEX(Inputs!$C$91:$G$91,G$9))</f>
        <v>300</v>
      </c>
      <c r="H66" s="57">
        <f>IF(H$9=0,0,INDEX(Inputs!$C$91:$G$91,H$9))</f>
        <v>300</v>
      </c>
      <c r="I66" s="57">
        <f>IF(I$9=0,0,INDEX(Inputs!$C$91:$G$91,I$9))</f>
        <v>1800</v>
      </c>
      <c r="J66" s="57">
        <f>IF(J$9=0,0,INDEX(Inputs!$C$91:$G$91,J$9))</f>
        <v>1800</v>
      </c>
      <c r="K66" s="57">
        <f>IF(K$9=0,0,INDEX(Inputs!$C$91:$G$91,K$9))</f>
        <v>1800</v>
      </c>
      <c r="L66" s="57">
        <f>IF(L$9=0,0,INDEX(Inputs!$C$91:$G$91,L$9))</f>
        <v>1800</v>
      </c>
      <c r="M66" s="57">
        <f>IF(M$9=0,0,INDEX(Inputs!$C$91:$G$91,M$9))</f>
        <v>1800</v>
      </c>
      <c r="N66" s="57">
        <f>IF(N$9=0,0,INDEX(Inputs!$C$91:$G$91,N$9))</f>
        <v>2600</v>
      </c>
      <c r="O66" s="57">
        <f>IF(O$9=0,0,INDEX(Inputs!$C$91:$G$91,O$9))</f>
        <v>2600</v>
      </c>
      <c r="P66" s="57">
        <f>IF(P$9=0,0,INDEX(Inputs!$C$91:$G$91,P$9))</f>
        <v>3500</v>
      </c>
      <c r="Q66" s="57">
        <f>IF(Q$9=0,0,INDEX(Inputs!$C$91:$G$91,Q$9))</f>
        <v>3500</v>
      </c>
      <c r="R66" s="57">
        <f>IF(R$9=0,0,INDEX(Inputs!$C$91:$G$91,R$9))</f>
        <v>0</v>
      </c>
      <c r="S66" s="57">
        <f>IF(S$9=0,0,INDEX(Inputs!$C$91:$G$91,S$9))</f>
        <v>0</v>
      </c>
      <c r="T66" s="57">
        <f>IF(T$9=0,0,INDEX(Inputs!$C$91:$G$91,T$9))</f>
        <v>0</v>
      </c>
    </row>
    <row r="67">
      <c r="B67" s="60" t="inlineStr">
        <is>
          <t>Platform, baseline</t>
        </is>
      </c>
      <c r="C67" s="75" t="n"/>
      <c r="D67" s="61">
        <f>SUM(D64:D66)</f>
        <v>146100</v>
      </c>
      <c r="E67" s="75" t="n"/>
      <c r="F67" s="61">
        <f>SUM(F64:F66)</f>
        <v>2200</v>
      </c>
      <c r="G67" s="61">
        <f>SUM(G64:G66)</f>
        <v>4700</v>
      </c>
      <c r="H67" s="61">
        <f>SUM(H64:H66)</f>
        <v>4700</v>
      </c>
      <c r="I67" s="61">
        <f>SUM(I64:I66)</f>
        <v>12700</v>
      </c>
      <c r="J67" s="61">
        <f>SUM(J64:J66)</f>
        <v>12700</v>
      </c>
      <c r="K67" s="61">
        <f>SUM(K64:K66)</f>
        <v>12700</v>
      </c>
      <c r="L67" s="61">
        <f>SUM(L64:L66)</f>
        <v>12700</v>
      </c>
      <c r="M67" s="61">
        <f>SUM(M64:M66)</f>
        <v>12700</v>
      </c>
      <c r="N67" s="61">
        <f>SUM(N64:N66)</f>
        <v>16000</v>
      </c>
      <c r="O67" s="61">
        <f>SUM(O64:O66)</f>
        <v>16000</v>
      </c>
      <c r="P67" s="61">
        <f>SUM(P64:P66)</f>
        <v>19500</v>
      </c>
      <c r="Q67" s="61">
        <f>SUM(Q64:Q66)</f>
        <v>19500</v>
      </c>
      <c r="R67" s="61">
        <f>SUM(R64:R66)</f>
        <v>0</v>
      </c>
      <c r="S67" s="61">
        <f>SUM(S64:S66)</f>
        <v>0</v>
      </c>
      <c r="T67" s="61">
        <f>SUM(T64:T66)</f>
        <v>0</v>
      </c>
    </row>
    <row r="68"/>
    <row r="69" ht="22" customHeight="1">
      <c r="B69" s="39" t="inlineStr">
        <is>
          <t>6  Platform &amp; tools, current plan</t>
        </is>
      </c>
      <c r="C69" s="40" t="n"/>
      <c r="D69" s="40" t="n"/>
      <c r="E69" s="40" t="n"/>
      <c r="F69" s="40" t="n"/>
      <c r="G69" s="40" t="n"/>
      <c r="H69" s="40" t="n"/>
      <c r="I69" s="40" t="n"/>
      <c r="J69" s="40" t="n"/>
      <c r="K69" s="40" t="n"/>
      <c r="L69" s="40" t="n"/>
      <c r="M69" s="40" t="n"/>
      <c r="N69" s="40" t="n"/>
      <c r="O69" s="40" t="n"/>
      <c r="P69" s="40" t="n"/>
      <c r="Q69" s="40" t="n"/>
      <c r="R69" s="40" t="n"/>
      <c r="S69" s="40" t="n"/>
      <c r="T69" s="40" t="n"/>
    </row>
    <row r="70">
      <c r="B70" s="119" t="str">
        <f>Inputs!$B$89</f>
        <v>Cloud hosting</v>
      </c>
      <c r="C70" s="14" t="inlineStr">
        <is>
          <t>per month</t>
        </is>
      </c>
      <c r="D70" s="69">
        <f>SUM(F70:T70)</f>
        <v>81800</v>
      </c>
      <c r="E70" s="6" t="n"/>
      <c r="F70" s="57">
        <f>IF(F$11=0,0,INDEX(Inputs!$I$89:$M$89,F$11))</f>
        <v>400</v>
      </c>
      <c r="G70" s="57">
        <f>IF(G$11=0,0,INDEX(Inputs!$I$89:$M$89,G$11))</f>
        <v>1200</v>
      </c>
      <c r="H70" s="57">
        <f>IF(H$11=0,0,INDEX(Inputs!$I$89:$M$89,H$11))</f>
        <v>1200</v>
      </c>
      <c r="I70" s="57">
        <f>IF(I$11=0,0,INDEX(Inputs!$I$89:$M$89,I$11))</f>
        <v>7200</v>
      </c>
      <c r="J70" s="57">
        <f>IF(J$11=0,0,INDEX(Inputs!$I$89:$M$89,J$11))</f>
        <v>7200</v>
      </c>
      <c r="K70" s="57">
        <f>IF(K$11=0,0,INDEX(Inputs!$I$89:$M$89,K$11))</f>
        <v>7200</v>
      </c>
      <c r="L70" s="57">
        <f>IF(L$11=0,0,INDEX(Inputs!$I$89:$M$89,L$11))</f>
        <v>7200</v>
      </c>
      <c r="M70" s="57">
        <f>IF(M$11=0,0,INDEX(Inputs!$I$89:$M$89,M$11))</f>
        <v>7200</v>
      </c>
      <c r="N70" s="57">
        <f>IF(N$11=0,0,INDEX(Inputs!$I$89:$M$89,N$11))</f>
        <v>9000</v>
      </c>
      <c r="O70" s="57">
        <f>IF(O$11=0,0,INDEX(Inputs!$I$89:$M$89,O$11))</f>
        <v>9000</v>
      </c>
      <c r="P70" s="57">
        <f>IF(P$11=0,0,INDEX(Inputs!$I$89:$M$89,P$11))</f>
        <v>12500</v>
      </c>
      <c r="Q70" s="57">
        <f>IF(Q$11=0,0,INDEX(Inputs!$I$89:$M$89,Q$11))</f>
        <v>12500</v>
      </c>
      <c r="R70" s="57">
        <f>IF(R$11=0,0,INDEX(Inputs!$I$89:$M$89,R$11))</f>
        <v>0</v>
      </c>
      <c r="S70" s="57">
        <f>IF(S$11=0,0,INDEX(Inputs!$I$89:$M$89,S$11))</f>
        <v>0</v>
      </c>
      <c r="T70" s="57">
        <f>IF(T$11=0,0,INDEX(Inputs!$I$89:$M$89,T$11))</f>
        <v>0</v>
      </c>
    </row>
    <row r="71">
      <c r="B71" s="119" t="str">
        <f>Inputs!$B$90</f>
        <v>Software &amp; tools</v>
      </c>
      <c r="C71" s="14" t="inlineStr">
        <is>
          <t>per month</t>
        </is>
      </c>
      <c r="D71" s="69">
        <f>SUM(F71:T71)</f>
        <v>51900</v>
      </c>
      <c r="E71" s="6" t="n"/>
      <c r="F71" s="57">
        <f>IF(F$11=0,0,INDEX(Inputs!$I$90:$M$90,F$11))</f>
        <v>1800</v>
      </c>
      <c r="G71" s="57">
        <f>IF(G$11=0,0,INDEX(Inputs!$I$90:$M$90,G$11))</f>
        <v>3200</v>
      </c>
      <c r="H71" s="57">
        <f>IF(H$11=0,0,INDEX(Inputs!$I$90:$M$90,H$11))</f>
        <v>3200</v>
      </c>
      <c r="I71" s="57">
        <f>IF(I$11=0,0,INDEX(Inputs!$I$90:$M$90,I$11))</f>
        <v>5100</v>
      </c>
      <c r="J71" s="57">
        <f>IF(J$11=0,0,INDEX(Inputs!$I$90:$M$90,J$11))</f>
        <v>5100</v>
      </c>
      <c r="K71" s="57">
        <f>IF(K$11=0,0,INDEX(Inputs!$I$90:$M$90,K$11))</f>
        <v>5100</v>
      </c>
      <c r="L71" s="57">
        <f>IF(L$11=0,0,INDEX(Inputs!$I$90:$M$90,L$11))</f>
        <v>5100</v>
      </c>
      <c r="M71" s="57">
        <f>IF(M$11=0,0,INDEX(Inputs!$I$90:$M$90,M$11))</f>
        <v>5100</v>
      </c>
      <c r="N71" s="57">
        <f>IF(N$11=0,0,INDEX(Inputs!$I$90:$M$90,N$11))</f>
        <v>5100</v>
      </c>
      <c r="O71" s="57">
        <f>IF(O$11=0,0,INDEX(Inputs!$I$90:$M$90,O$11))</f>
        <v>5100</v>
      </c>
      <c r="P71" s="57">
        <f>IF(P$11=0,0,INDEX(Inputs!$I$90:$M$90,P$11))</f>
        <v>4000</v>
      </c>
      <c r="Q71" s="57">
        <f>IF(Q$11=0,0,INDEX(Inputs!$I$90:$M$90,Q$11))</f>
        <v>4000</v>
      </c>
      <c r="R71" s="57">
        <f>IF(R$11=0,0,INDEX(Inputs!$I$90:$M$90,R$11))</f>
        <v>0</v>
      </c>
      <c r="S71" s="57">
        <f>IF(S$11=0,0,INDEX(Inputs!$I$90:$M$90,S$11))</f>
        <v>0</v>
      </c>
      <c r="T71" s="57">
        <f>IF(T$11=0,0,INDEX(Inputs!$I$90:$M$90,T$11))</f>
        <v>0</v>
      </c>
    </row>
    <row r="72">
      <c r="B72" s="119" t="str">
        <f>Inputs!$B$91</f>
        <v>Third-party services</v>
      </c>
      <c r="C72" s="14" t="inlineStr">
        <is>
          <t>per month</t>
        </is>
      </c>
      <c r="D72" s="69">
        <f>SUM(F72:T72)</f>
        <v>21800</v>
      </c>
      <c r="E72" s="6" t="n"/>
      <c r="F72" s="57">
        <f>IF(F$11=0,0,INDEX(Inputs!$I$91:$M$91,F$11))</f>
        <v>0</v>
      </c>
      <c r="G72" s="57">
        <f>IF(G$11=0,0,INDEX(Inputs!$I$91:$M$91,G$11))</f>
        <v>300</v>
      </c>
      <c r="H72" s="57">
        <f>IF(H$11=0,0,INDEX(Inputs!$I$91:$M$91,H$11))</f>
        <v>300</v>
      </c>
      <c r="I72" s="57">
        <f>IF(I$11=0,0,INDEX(Inputs!$I$91:$M$91,I$11))</f>
        <v>1800</v>
      </c>
      <c r="J72" s="57">
        <f>IF(J$11=0,0,INDEX(Inputs!$I$91:$M$91,J$11))</f>
        <v>1800</v>
      </c>
      <c r="K72" s="57">
        <f>IF(K$11=0,0,INDEX(Inputs!$I$91:$M$91,K$11))</f>
        <v>1800</v>
      </c>
      <c r="L72" s="57">
        <f>IF(L$11=0,0,INDEX(Inputs!$I$91:$M$91,L$11))</f>
        <v>1800</v>
      </c>
      <c r="M72" s="57">
        <f>IF(M$11=0,0,INDEX(Inputs!$I$91:$M$91,M$11))</f>
        <v>1800</v>
      </c>
      <c r="N72" s="57">
        <f>IF(N$11=0,0,INDEX(Inputs!$I$91:$M$91,N$11))</f>
        <v>2600</v>
      </c>
      <c r="O72" s="57">
        <f>IF(O$11=0,0,INDEX(Inputs!$I$91:$M$91,O$11))</f>
        <v>2600</v>
      </c>
      <c r="P72" s="57">
        <f>IF(P$11=0,0,INDEX(Inputs!$I$91:$M$91,P$11))</f>
        <v>3500</v>
      </c>
      <c r="Q72" s="57">
        <f>IF(Q$11=0,0,INDEX(Inputs!$I$91:$M$91,Q$11))</f>
        <v>3500</v>
      </c>
      <c r="R72" s="57">
        <f>IF(R$11=0,0,INDEX(Inputs!$I$91:$M$91,R$11))</f>
        <v>0</v>
      </c>
      <c r="S72" s="57">
        <f>IF(S$11=0,0,INDEX(Inputs!$I$91:$M$91,S$11))</f>
        <v>0</v>
      </c>
      <c r="T72" s="57">
        <f>IF(T$11=0,0,INDEX(Inputs!$I$91:$M$91,T$11))</f>
        <v>0</v>
      </c>
    </row>
    <row r="73">
      <c r="B73" s="60" t="inlineStr">
        <is>
          <t>Platform, current plan</t>
        </is>
      </c>
      <c r="C73" s="75" t="n"/>
      <c r="D73" s="61">
        <f>SUM(D70:D72)</f>
        <v>155500</v>
      </c>
      <c r="E73" s="75" t="n"/>
      <c r="F73" s="61">
        <f>SUM(F70:F72)</f>
        <v>2200</v>
      </c>
      <c r="G73" s="61">
        <f>SUM(G70:G72)</f>
        <v>4700</v>
      </c>
      <c r="H73" s="61">
        <f>SUM(H70:H72)</f>
        <v>4700</v>
      </c>
      <c r="I73" s="61">
        <f>SUM(I70:I72)</f>
        <v>14100</v>
      </c>
      <c r="J73" s="61">
        <f>SUM(J70:J72)</f>
        <v>14100</v>
      </c>
      <c r="K73" s="61">
        <f>SUM(K70:K72)</f>
        <v>14100</v>
      </c>
      <c r="L73" s="61">
        <f>SUM(L70:L72)</f>
        <v>14100</v>
      </c>
      <c r="M73" s="61">
        <f>SUM(M70:M72)</f>
        <v>14100</v>
      </c>
      <c r="N73" s="61">
        <f>SUM(N70:N72)</f>
        <v>16700</v>
      </c>
      <c r="O73" s="61">
        <f>SUM(O70:O72)</f>
        <v>16700</v>
      </c>
      <c r="P73" s="61">
        <f>SUM(P70:P72)</f>
        <v>20000</v>
      </c>
      <c r="Q73" s="61">
        <f>SUM(Q70:Q72)</f>
        <v>20000</v>
      </c>
      <c r="R73" s="61">
        <f>SUM(R70:R72)</f>
        <v>0</v>
      </c>
      <c r="S73" s="61">
        <f>SUM(S70:S72)</f>
        <v>0</v>
      </c>
      <c r="T73" s="61">
        <f>SUM(T70:T72)</f>
        <v>0</v>
      </c>
    </row>
    <row r="74"/>
    <row r="75" ht="22" customHeight="1">
      <c r="B75" s="39" t="inlineStr">
        <is>
          <t>7  Vendors &amp; purchases, baseline</t>
        </is>
      </c>
      <c r="C75" s="40" t="n"/>
      <c r="D75" s="40" t="n"/>
      <c r="E75" s="40" t="n"/>
      <c r="F75" s="40" t="n"/>
      <c r="G75" s="40" t="n"/>
      <c r="H75" s="40" t="n"/>
      <c r="I75" s="40" t="n"/>
      <c r="J75" s="40" t="n"/>
      <c r="K75" s="40" t="n"/>
      <c r="L75" s="40" t="n"/>
      <c r="M75" s="40" t="n"/>
      <c r="N75" s="40" t="n"/>
      <c r="O75" s="40" t="n"/>
      <c r="P75" s="40" t="n"/>
      <c r="Q75" s="40" t="n"/>
      <c r="R75" s="40" t="n"/>
      <c r="S75" s="40" t="n"/>
      <c r="T75" s="40" t="n"/>
    </row>
    <row r="76">
      <c r="B76" s="41" t="inlineStr">
        <is>
          <t>Baseline amounts in the baseline month (Purchases 1).</t>
        </is>
      </c>
    </row>
    <row r="77">
      <c r="B77" s="119" t="str">
        <f>Inputs!$B$49</f>
        <v>User research &amp; testing</v>
      </c>
      <c r="C77" s="6" t="n"/>
      <c r="D77" s="69">
        <f>SUM(F77:T77)</f>
        <v>42000</v>
      </c>
      <c r="E77" s="6" t="n"/>
      <c r="F77" s="57">
        <f>SUMIFS(Buy_Base,Buy_Line,$B77,Buy_BaseMonth,F$5)</f>
        <v>0</v>
      </c>
      <c r="G77" s="57">
        <f>SUMIFS(Buy_Base,Buy_Line,$B77,Buy_BaseMonth,G$5)</f>
        <v>24000</v>
      </c>
      <c r="H77" s="57">
        <f>SUMIFS(Buy_Base,Buy_Line,$B77,Buy_BaseMonth,H$5)</f>
        <v>0</v>
      </c>
      <c r="I77" s="57">
        <f>SUMIFS(Buy_Base,Buy_Line,$B77,Buy_BaseMonth,I$5)</f>
        <v>0</v>
      </c>
      <c r="J77" s="57">
        <f>SUMIFS(Buy_Base,Buy_Line,$B77,Buy_BaseMonth,J$5)</f>
        <v>0</v>
      </c>
      <c r="K77" s="57">
        <f>SUMIFS(Buy_Base,Buy_Line,$B77,Buy_BaseMonth,K$5)</f>
        <v>0</v>
      </c>
      <c r="L77" s="57">
        <f>SUMIFS(Buy_Base,Buy_Line,$B77,Buy_BaseMonth,L$5)</f>
        <v>0</v>
      </c>
      <c r="M77" s="57">
        <f>SUMIFS(Buy_Base,Buy_Line,$B77,Buy_BaseMonth,M$5)</f>
        <v>0</v>
      </c>
      <c r="N77" s="57">
        <f>SUMIFS(Buy_Base,Buy_Line,$B77,Buy_BaseMonth,N$5)</f>
        <v>18000</v>
      </c>
      <c r="O77" s="57">
        <f>SUMIFS(Buy_Base,Buy_Line,$B77,Buy_BaseMonth,O$5)</f>
        <v>0</v>
      </c>
      <c r="P77" s="57">
        <f>SUMIFS(Buy_Base,Buy_Line,$B77,Buy_BaseMonth,P$5)</f>
        <v>0</v>
      </c>
      <c r="Q77" s="57">
        <f>SUMIFS(Buy_Base,Buy_Line,$B77,Buy_BaseMonth,Q$5)</f>
        <v>0</v>
      </c>
      <c r="R77" s="57">
        <f>SUMIFS(Buy_Base,Buy_Line,$B77,Buy_BaseMonth,R$5)</f>
        <v>0</v>
      </c>
      <c r="S77" s="57">
        <f>SUMIFS(Buy_Base,Buy_Line,$B77,Buy_BaseMonth,S$5)</f>
        <v>0</v>
      </c>
      <c r="T77" s="57">
        <f>SUMIFS(Buy_Base,Buy_Line,$B77,Buy_BaseMonth,T$5)</f>
        <v>0</v>
      </c>
    </row>
    <row r="78">
      <c r="B78" s="119" t="str">
        <f>Inputs!$B$50</f>
        <v>Security &amp; accessibility</v>
      </c>
      <c r="C78" s="6" t="n"/>
      <c r="D78" s="69">
        <f>SUM(F78:T78)</f>
        <v>46000</v>
      </c>
      <c r="E78" s="6" t="n"/>
      <c r="F78" s="57">
        <f>SUMIFS(Buy_Base,Buy_Line,$B78,Buy_BaseMonth,F$5)</f>
        <v>0</v>
      </c>
      <c r="G78" s="57">
        <f>SUMIFS(Buy_Base,Buy_Line,$B78,Buy_BaseMonth,G$5)</f>
        <v>0</v>
      </c>
      <c r="H78" s="57">
        <f>SUMIFS(Buy_Base,Buy_Line,$B78,Buy_BaseMonth,H$5)</f>
        <v>0</v>
      </c>
      <c r="I78" s="57">
        <f>SUMIFS(Buy_Base,Buy_Line,$B78,Buy_BaseMonth,I$5)</f>
        <v>0</v>
      </c>
      <c r="J78" s="57">
        <f>SUMIFS(Buy_Base,Buy_Line,$B78,Buy_BaseMonth,J$5)</f>
        <v>0</v>
      </c>
      <c r="K78" s="57">
        <f>SUMIFS(Buy_Base,Buy_Line,$B78,Buy_BaseMonth,K$5)</f>
        <v>0</v>
      </c>
      <c r="L78" s="57">
        <f>SUMIFS(Buy_Base,Buy_Line,$B78,Buy_BaseMonth,L$5)</f>
        <v>0</v>
      </c>
      <c r="M78" s="57">
        <f>SUMIFS(Buy_Base,Buy_Line,$B78,Buy_BaseMonth,M$5)</f>
        <v>0</v>
      </c>
      <c r="N78" s="57">
        <f>SUMIFS(Buy_Base,Buy_Line,$B78,Buy_BaseMonth,N$5)</f>
        <v>32000</v>
      </c>
      <c r="O78" s="57">
        <f>SUMIFS(Buy_Base,Buy_Line,$B78,Buy_BaseMonth,O$5)</f>
        <v>14000</v>
      </c>
      <c r="P78" s="57">
        <f>SUMIFS(Buy_Base,Buy_Line,$B78,Buy_BaseMonth,P$5)</f>
        <v>0</v>
      </c>
      <c r="Q78" s="57">
        <f>SUMIFS(Buy_Base,Buy_Line,$B78,Buy_BaseMonth,Q$5)</f>
        <v>0</v>
      </c>
      <c r="R78" s="57">
        <f>SUMIFS(Buy_Base,Buy_Line,$B78,Buy_BaseMonth,R$5)</f>
        <v>0</v>
      </c>
      <c r="S78" s="57">
        <f>SUMIFS(Buy_Base,Buy_Line,$B78,Buy_BaseMonth,S$5)</f>
        <v>0</v>
      </c>
      <c r="T78" s="57">
        <f>SUMIFS(Buy_Base,Buy_Line,$B78,Buy_BaseMonth,T$5)</f>
        <v>0</v>
      </c>
    </row>
    <row r="79">
      <c r="B79" s="119" t="str">
        <f>Inputs!$B$51</f>
        <v>Payment certification</v>
      </c>
      <c r="C79" s="6" t="n"/>
      <c r="D79" s="69">
        <f>SUM(F79:T79)</f>
        <v>9500</v>
      </c>
      <c r="E79" s="6" t="n"/>
      <c r="F79" s="57">
        <f>SUMIFS(Buy_Base,Buy_Line,$B79,Buy_BaseMonth,F$5)</f>
        <v>0</v>
      </c>
      <c r="G79" s="57">
        <f>SUMIFS(Buy_Base,Buy_Line,$B79,Buy_BaseMonth,G$5)</f>
        <v>0</v>
      </c>
      <c r="H79" s="57">
        <f>SUMIFS(Buy_Base,Buy_Line,$B79,Buy_BaseMonth,H$5)</f>
        <v>0</v>
      </c>
      <c r="I79" s="57">
        <f>SUMIFS(Buy_Base,Buy_Line,$B79,Buy_BaseMonth,I$5)</f>
        <v>0</v>
      </c>
      <c r="J79" s="57">
        <f>SUMIFS(Buy_Base,Buy_Line,$B79,Buy_BaseMonth,J$5)</f>
        <v>0</v>
      </c>
      <c r="K79" s="57">
        <f>SUMIFS(Buy_Base,Buy_Line,$B79,Buy_BaseMonth,K$5)</f>
        <v>9500</v>
      </c>
      <c r="L79" s="57">
        <f>SUMIFS(Buy_Base,Buy_Line,$B79,Buy_BaseMonth,L$5)</f>
        <v>0</v>
      </c>
      <c r="M79" s="57">
        <f>SUMIFS(Buy_Base,Buy_Line,$B79,Buy_BaseMonth,M$5)</f>
        <v>0</v>
      </c>
      <c r="N79" s="57">
        <f>SUMIFS(Buy_Base,Buy_Line,$B79,Buy_BaseMonth,N$5)</f>
        <v>0</v>
      </c>
      <c r="O79" s="57">
        <f>SUMIFS(Buy_Base,Buy_Line,$B79,Buy_BaseMonth,O$5)</f>
        <v>0</v>
      </c>
      <c r="P79" s="57">
        <f>SUMIFS(Buy_Base,Buy_Line,$B79,Buy_BaseMonth,P$5)</f>
        <v>0</v>
      </c>
      <c r="Q79" s="57">
        <f>SUMIFS(Buy_Base,Buy_Line,$B79,Buy_BaseMonth,Q$5)</f>
        <v>0</v>
      </c>
      <c r="R79" s="57">
        <f>SUMIFS(Buy_Base,Buy_Line,$B79,Buy_BaseMonth,R$5)</f>
        <v>0</v>
      </c>
      <c r="S79" s="57">
        <f>SUMIFS(Buy_Base,Buy_Line,$B79,Buy_BaseMonth,S$5)</f>
        <v>0</v>
      </c>
      <c r="T79" s="57">
        <f>SUMIFS(Buy_Base,Buy_Line,$B79,Buy_BaseMonth,T$5)</f>
        <v>0</v>
      </c>
    </row>
    <row r="80">
      <c r="B80" s="119" t="str">
        <f>Inputs!$B$52</f>
        <v>Test devices</v>
      </c>
      <c r="C80" s="6" t="n"/>
      <c r="D80" s="69">
        <f>SUM(F80:T80)</f>
        <v>16000</v>
      </c>
      <c r="E80" s="6" t="n"/>
      <c r="F80" s="57">
        <f>SUMIFS(Buy_Base,Buy_Line,$B80,Buy_BaseMonth,F$5)</f>
        <v>0</v>
      </c>
      <c r="G80" s="57">
        <f>SUMIFS(Buy_Base,Buy_Line,$B80,Buy_BaseMonth,G$5)</f>
        <v>0</v>
      </c>
      <c r="H80" s="57">
        <f>SUMIFS(Buy_Base,Buy_Line,$B80,Buy_BaseMonth,H$5)</f>
        <v>0</v>
      </c>
      <c r="I80" s="57">
        <f>SUMIFS(Buy_Base,Buy_Line,$B80,Buy_BaseMonth,I$5)</f>
        <v>16000</v>
      </c>
      <c r="J80" s="57">
        <f>SUMIFS(Buy_Base,Buy_Line,$B80,Buy_BaseMonth,J$5)</f>
        <v>0</v>
      </c>
      <c r="K80" s="57">
        <f>SUMIFS(Buy_Base,Buy_Line,$B80,Buy_BaseMonth,K$5)</f>
        <v>0</v>
      </c>
      <c r="L80" s="57">
        <f>SUMIFS(Buy_Base,Buy_Line,$B80,Buy_BaseMonth,L$5)</f>
        <v>0</v>
      </c>
      <c r="M80" s="57">
        <f>SUMIFS(Buy_Base,Buy_Line,$B80,Buy_BaseMonth,M$5)</f>
        <v>0</v>
      </c>
      <c r="N80" s="57">
        <f>SUMIFS(Buy_Base,Buy_Line,$B80,Buy_BaseMonth,N$5)</f>
        <v>0</v>
      </c>
      <c r="O80" s="57">
        <f>SUMIFS(Buy_Base,Buy_Line,$B80,Buy_BaseMonth,O$5)</f>
        <v>0</v>
      </c>
      <c r="P80" s="57">
        <f>SUMIFS(Buy_Base,Buy_Line,$B80,Buy_BaseMonth,P$5)</f>
        <v>0</v>
      </c>
      <c r="Q80" s="57">
        <f>SUMIFS(Buy_Base,Buy_Line,$B80,Buy_BaseMonth,Q$5)</f>
        <v>0</v>
      </c>
      <c r="R80" s="57">
        <f>SUMIFS(Buy_Base,Buy_Line,$B80,Buy_BaseMonth,R$5)</f>
        <v>0</v>
      </c>
      <c r="S80" s="57">
        <f>SUMIFS(Buy_Base,Buy_Line,$B80,Buy_BaseMonth,S$5)</f>
        <v>0</v>
      </c>
      <c r="T80" s="57">
        <f>SUMIFS(Buy_Base,Buy_Line,$B80,Buy_BaseMonth,T$5)</f>
        <v>0</v>
      </c>
    </row>
    <row r="81">
      <c r="B81" s="119" t="str">
        <f>Inputs!$B$53</f>
        <v>Launch content</v>
      </c>
      <c r="C81" s="6" t="n"/>
      <c r="D81" s="69">
        <f>SUM(F81:T81)</f>
        <v>22000</v>
      </c>
      <c r="E81" s="6" t="n"/>
      <c r="F81" s="57">
        <f>SUMIFS(Buy_Base,Buy_Line,$B81,Buy_BaseMonth,F$5)</f>
        <v>0</v>
      </c>
      <c r="G81" s="57">
        <f>SUMIFS(Buy_Base,Buy_Line,$B81,Buy_BaseMonth,G$5)</f>
        <v>0</v>
      </c>
      <c r="H81" s="57">
        <f>SUMIFS(Buy_Base,Buy_Line,$B81,Buy_BaseMonth,H$5)</f>
        <v>0</v>
      </c>
      <c r="I81" s="57">
        <f>SUMIFS(Buy_Base,Buy_Line,$B81,Buy_BaseMonth,I$5)</f>
        <v>0</v>
      </c>
      <c r="J81" s="57">
        <f>SUMIFS(Buy_Base,Buy_Line,$B81,Buy_BaseMonth,J$5)</f>
        <v>0</v>
      </c>
      <c r="K81" s="57">
        <f>SUMIFS(Buy_Base,Buy_Line,$B81,Buy_BaseMonth,K$5)</f>
        <v>0</v>
      </c>
      <c r="L81" s="57">
        <f>SUMIFS(Buy_Base,Buy_Line,$B81,Buy_BaseMonth,L$5)</f>
        <v>0</v>
      </c>
      <c r="M81" s="57">
        <f>SUMIFS(Buy_Base,Buy_Line,$B81,Buy_BaseMonth,M$5)</f>
        <v>0</v>
      </c>
      <c r="N81" s="57">
        <f>SUMIFS(Buy_Base,Buy_Line,$B81,Buy_BaseMonth,N$5)</f>
        <v>0</v>
      </c>
      <c r="O81" s="57">
        <f>SUMIFS(Buy_Base,Buy_Line,$B81,Buy_BaseMonth,O$5)</f>
        <v>22000</v>
      </c>
      <c r="P81" s="57">
        <f>SUMIFS(Buy_Base,Buy_Line,$B81,Buy_BaseMonth,P$5)</f>
        <v>0</v>
      </c>
      <c r="Q81" s="57">
        <f>SUMIFS(Buy_Base,Buy_Line,$B81,Buy_BaseMonth,Q$5)</f>
        <v>0</v>
      </c>
      <c r="R81" s="57">
        <f>SUMIFS(Buy_Base,Buy_Line,$B81,Buy_BaseMonth,R$5)</f>
        <v>0</v>
      </c>
      <c r="S81" s="57">
        <f>SUMIFS(Buy_Base,Buy_Line,$B81,Buy_BaseMonth,S$5)</f>
        <v>0</v>
      </c>
      <c r="T81" s="57">
        <f>SUMIFS(Buy_Base,Buy_Line,$B81,Buy_BaseMonth,T$5)</f>
        <v>0</v>
      </c>
    </row>
    <row r="82">
      <c r="B82" s="60" t="inlineStr">
        <is>
          <t>Vendors, baseline</t>
        </is>
      </c>
      <c r="C82" s="75" t="n"/>
      <c r="D82" s="61">
        <f>SUM(D77:D81)</f>
        <v>135500</v>
      </c>
      <c r="E82" s="75" t="n"/>
      <c r="F82" s="61">
        <f>SUM(F77:F81)</f>
        <v>0</v>
      </c>
      <c r="G82" s="61">
        <f>SUM(G77:G81)</f>
        <v>24000</v>
      </c>
      <c r="H82" s="61">
        <f>SUM(H77:H81)</f>
        <v>0</v>
      </c>
      <c r="I82" s="61">
        <f>SUM(I77:I81)</f>
        <v>16000</v>
      </c>
      <c r="J82" s="61">
        <f>SUM(J77:J81)</f>
        <v>0</v>
      </c>
      <c r="K82" s="61">
        <f>SUM(K77:K81)</f>
        <v>9500</v>
      </c>
      <c r="L82" s="61">
        <f>SUM(L77:L81)</f>
        <v>0</v>
      </c>
      <c r="M82" s="61">
        <f>SUM(M77:M81)</f>
        <v>0</v>
      </c>
      <c r="N82" s="61">
        <f>SUM(N77:N81)</f>
        <v>50000</v>
      </c>
      <c r="O82" s="61">
        <f>SUM(O77:O81)</f>
        <v>36000</v>
      </c>
      <c r="P82" s="61">
        <f>SUM(P77:P81)</f>
        <v>0</v>
      </c>
      <c r="Q82" s="61">
        <f>SUM(Q77:Q81)</f>
        <v>0</v>
      </c>
      <c r="R82" s="61">
        <f>SUM(R77:R81)</f>
        <v>0</v>
      </c>
      <c r="S82" s="61">
        <f>SUM(S77:S81)</f>
        <v>0</v>
      </c>
      <c r="T82" s="61">
        <f>SUM(T77:T81)</f>
        <v>0</v>
      </c>
    </row>
    <row r="83"/>
    <row r="84" ht="22" customHeight="1">
      <c r="B84" s="39" t="inlineStr">
        <is>
          <t>8  Vendors &amp; purchases, current plan</t>
        </is>
      </c>
      <c r="C84" s="40" t="n"/>
      <c r="D84" s="40" t="n"/>
      <c r="E84" s="40" t="n"/>
      <c r="F84" s="40" t="n"/>
      <c r="G84" s="40" t="n"/>
      <c r="H84" s="40" t="n"/>
      <c r="I84" s="40" t="n"/>
      <c r="J84" s="40" t="n"/>
      <c r="K84" s="40" t="n"/>
      <c r="L84" s="40" t="n"/>
      <c r="M84" s="40" t="n"/>
      <c r="N84" s="40" t="n"/>
      <c r="O84" s="40" t="n"/>
      <c r="P84" s="40" t="n"/>
      <c r="Q84" s="40" t="n"/>
      <c r="R84" s="40" t="n"/>
      <c r="S84" s="40" t="n"/>
      <c r="T84" s="40" t="n"/>
    </row>
    <row r="85">
      <c r="B85" s="41" t="inlineStr">
        <is>
          <t>Forecast amounts in the forecast month, without items already paid.</t>
        </is>
      </c>
    </row>
    <row r="86">
      <c r="B86" s="119" t="str">
        <f>Inputs!$B$49</f>
        <v>User research &amp; testing</v>
      </c>
      <c r="C86" s="6" t="n"/>
      <c r="D86" s="69">
        <f>SUM(F86:T86)</f>
        <v>18000</v>
      </c>
      <c r="E86" s="6" t="n"/>
      <c r="F86" s="57">
        <f>SUMIFS(Buy_Fc,Buy_Line,$B86,Buy_FcMonth,F$5,Buy_Status,"&lt;&gt;Paid")</f>
        <v>0</v>
      </c>
      <c r="G86" s="57">
        <f>SUMIFS(Buy_Fc,Buy_Line,$B86,Buy_FcMonth,G$5,Buy_Status,"&lt;&gt;Paid")</f>
        <v>0</v>
      </c>
      <c r="H86" s="57">
        <f>SUMIFS(Buy_Fc,Buy_Line,$B86,Buy_FcMonth,H$5,Buy_Status,"&lt;&gt;Paid")</f>
        <v>0</v>
      </c>
      <c r="I86" s="57">
        <f>SUMIFS(Buy_Fc,Buy_Line,$B86,Buy_FcMonth,I$5,Buy_Status,"&lt;&gt;Paid")</f>
        <v>0</v>
      </c>
      <c r="J86" s="57">
        <f>SUMIFS(Buy_Fc,Buy_Line,$B86,Buy_FcMonth,J$5,Buy_Status,"&lt;&gt;Paid")</f>
        <v>0</v>
      </c>
      <c r="K86" s="57">
        <f>SUMIFS(Buy_Fc,Buy_Line,$B86,Buy_FcMonth,K$5,Buy_Status,"&lt;&gt;Paid")</f>
        <v>0</v>
      </c>
      <c r="L86" s="57">
        <f>SUMIFS(Buy_Fc,Buy_Line,$B86,Buy_FcMonth,L$5,Buy_Status,"&lt;&gt;Paid")</f>
        <v>0</v>
      </c>
      <c r="M86" s="57">
        <f>SUMIFS(Buy_Fc,Buy_Line,$B86,Buy_FcMonth,M$5,Buy_Status,"&lt;&gt;Paid")</f>
        <v>0</v>
      </c>
      <c r="N86" s="57">
        <f>SUMIFS(Buy_Fc,Buy_Line,$B86,Buy_FcMonth,N$5,Buy_Status,"&lt;&gt;Paid")</f>
        <v>18000</v>
      </c>
      <c r="O86" s="57">
        <f>SUMIFS(Buy_Fc,Buy_Line,$B86,Buy_FcMonth,O$5,Buy_Status,"&lt;&gt;Paid")</f>
        <v>0</v>
      </c>
      <c r="P86" s="57">
        <f>SUMIFS(Buy_Fc,Buy_Line,$B86,Buy_FcMonth,P$5,Buy_Status,"&lt;&gt;Paid")</f>
        <v>0</v>
      </c>
      <c r="Q86" s="57">
        <f>SUMIFS(Buy_Fc,Buy_Line,$B86,Buy_FcMonth,Q$5,Buy_Status,"&lt;&gt;Paid")</f>
        <v>0</v>
      </c>
      <c r="R86" s="57">
        <f>SUMIFS(Buy_Fc,Buy_Line,$B86,Buy_FcMonth,R$5,Buy_Status,"&lt;&gt;Paid")</f>
        <v>0</v>
      </c>
      <c r="S86" s="57">
        <f>SUMIFS(Buy_Fc,Buy_Line,$B86,Buy_FcMonth,S$5,Buy_Status,"&lt;&gt;Paid")</f>
        <v>0</v>
      </c>
      <c r="T86" s="57">
        <f>SUMIFS(Buy_Fc,Buy_Line,$B86,Buy_FcMonth,T$5,Buy_Status,"&lt;&gt;Paid")</f>
        <v>0</v>
      </c>
    </row>
    <row r="87">
      <c r="B87" s="119" t="str">
        <f>Inputs!$B$50</f>
        <v>Security &amp; accessibility</v>
      </c>
      <c r="C87" s="6" t="n"/>
      <c r="D87" s="69">
        <f>SUM(F87:T87)</f>
        <v>48500</v>
      </c>
      <c r="E87" s="6" t="n"/>
      <c r="F87" s="57">
        <f>SUMIFS(Buy_Fc,Buy_Line,$B87,Buy_FcMonth,F$5,Buy_Status,"&lt;&gt;Paid")</f>
        <v>0</v>
      </c>
      <c r="G87" s="57">
        <f>SUMIFS(Buy_Fc,Buy_Line,$B87,Buy_FcMonth,G$5,Buy_Status,"&lt;&gt;Paid")</f>
        <v>0</v>
      </c>
      <c r="H87" s="57">
        <f>SUMIFS(Buy_Fc,Buy_Line,$B87,Buy_FcMonth,H$5,Buy_Status,"&lt;&gt;Paid")</f>
        <v>0</v>
      </c>
      <c r="I87" s="57">
        <f>SUMIFS(Buy_Fc,Buy_Line,$B87,Buy_FcMonth,I$5,Buy_Status,"&lt;&gt;Paid")</f>
        <v>0</v>
      </c>
      <c r="J87" s="57">
        <f>SUMIFS(Buy_Fc,Buy_Line,$B87,Buy_FcMonth,J$5,Buy_Status,"&lt;&gt;Paid")</f>
        <v>0</v>
      </c>
      <c r="K87" s="57">
        <f>SUMIFS(Buy_Fc,Buy_Line,$B87,Buy_FcMonth,K$5,Buy_Status,"&lt;&gt;Paid")</f>
        <v>0</v>
      </c>
      <c r="L87" s="57">
        <f>SUMIFS(Buy_Fc,Buy_Line,$B87,Buy_FcMonth,L$5,Buy_Status,"&lt;&gt;Paid")</f>
        <v>0</v>
      </c>
      <c r="M87" s="57">
        <f>SUMIFS(Buy_Fc,Buy_Line,$B87,Buy_FcMonth,M$5,Buy_Status,"&lt;&gt;Paid")</f>
        <v>0</v>
      </c>
      <c r="N87" s="57">
        <f>SUMIFS(Buy_Fc,Buy_Line,$B87,Buy_FcMonth,N$5,Buy_Status,"&lt;&gt;Paid")</f>
        <v>34500</v>
      </c>
      <c r="O87" s="57">
        <f>SUMIFS(Buy_Fc,Buy_Line,$B87,Buy_FcMonth,O$5,Buy_Status,"&lt;&gt;Paid")</f>
        <v>14000</v>
      </c>
      <c r="P87" s="57">
        <f>SUMIFS(Buy_Fc,Buy_Line,$B87,Buy_FcMonth,P$5,Buy_Status,"&lt;&gt;Paid")</f>
        <v>0</v>
      </c>
      <c r="Q87" s="57">
        <f>SUMIFS(Buy_Fc,Buy_Line,$B87,Buy_FcMonth,Q$5,Buy_Status,"&lt;&gt;Paid")</f>
        <v>0</v>
      </c>
      <c r="R87" s="57">
        <f>SUMIFS(Buy_Fc,Buy_Line,$B87,Buy_FcMonth,R$5,Buy_Status,"&lt;&gt;Paid")</f>
        <v>0</v>
      </c>
      <c r="S87" s="57">
        <f>SUMIFS(Buy_Fc,Buy_Line,$B87,Buy_FcMonth,S$5,Buy_Status,"&lt;&gt;Paid")</f>
        <v>0</v>
      </c>
      <c r="T87" s="57">
        <f>SUMIFS(Buy_Fc,Buy_Line,$B87,Buy_FcMonth,T$5,Buy_Status,"&lt;&gt;Paid")</f>
        <v>0</v>
      </c>
    </row>
    <row r="88">
      <c r="B88" s="119" t="str">
        <f>Inputs!$B$51</f>
        <v>Payment certification</v>
      </c>
      <c r="C88" s="6" t="n"/>
      <c r="D88" s="69">
        <f>SUM(F88:T88)</f>
        <v>0</v>
      </c>
      <c r="E88" s="6" t="n"/>
      <c r="F88" s="57">
        <f>SUMIFS(Buy_Fc,Buy_Line,$B88,Buy_FcMonth,F$5,Buy_Status,"&lt;&gt;Paid")</f>
        <v>0</v>
      </c>
      <c r="G88" s="57">
        <f>SUMIFS(Buy_Fc,Buy_Line,$B88,Buy_FcMonth,G$5,Buy_Status,"&lt;&gt;Paid")</f>
        <v>0</v>
      </c>
      <c r="H88" s="57">
        <f>SUMIFS(Buy_Fc,Buy_Line,$B88,Buy_FcMonth,H$5,Buy_Status,"&lt;&gt;Paid")</f>
        <v>0</v>
      </c>
      <c r="I88" s="57">
        <f>SUMIFS(Buy_Fc,Buy_Line,$B88,Buy_FcMonth,I$5,Buy_Status,"&lt;&gt;Paid")</f>
        <v>0</v>
      </c>
      <c r="J88" s="57">
        <f>SUMIFS(Buy_Fc,Buy_Line,$B88,Buy_FcMonth,J$5,Buy_Status,"&lt;&gt;Paid")</f>
        <v>0</v>
      </c>
      <c r="K88" s="57">
        <f>SUMIFS(Buy_Fc,Buy_Line,$B88,Buy_FcMonth,K$5,Buy_Status,"&lt;&gt;Paid")</f>
        <v>0</v>
      </c>
      <c r="L88" s="57">
        <f>SUMIFS(Buy_Fc,Buy_Line,$B88,Buy_FcMonth,L$5,Buy_Status,"&lt;&gt;Paid")</f>
        <v>0</v>
      </c>
      <c r="M88" s="57">
        <f>SUMIFS(Buy_Fc,Buy_Line,$B88,Buy_FcMonth,M$5,Buy_Status,"&lt;&gt;Paid")</f>
        <v>0</v>
      </c>
      <c r="N88" s="57">
        <f>SUMIFS(Buy_Fc,Buy_Line,$B88,Buy_FcMonth,N$5,Buy_Status,"&lt;&gt;Paid")</f>
        <v>0</v>
      </c>
      <c r="O88" s="57">
        <f>SUMIFS(Buy_Fc,Buy_Line,$B88,Buy_FcMonth,O$5,Buy_Status,"&lt;&gt;Paid")</f>
        <v>0</v>
      </c>
      <c r="P88" s="57">
        <f>SUMIFS(Buy_Fc,Buy_Line,$B88,Buy_FcMonth,P$5,Buy_Status,"&lt;&gt;Paid")</f>
        <v>0</v>
      </c>
      <c r="Q88" s="57">
        <f>SUMIFS(Buy_Fc,Buy_Line,$B88,Buy_FcMonth,Q$5,Buy_Status,"&lt;&gt;Paid")</f>
        <v>0</v>
      </c>
      <c r="R88" s="57">
        <f>SUMIFS(Buy_Fc,Buy_Line,$B88,Buy_FcMonth,R$5,Buy_Status,"&lt;&gt;Paid")</f>
        <v>0</v>
      </c>
      <c r="S88" s="57">
        <f>SUMIFS(Buy_Fc,Buy_Line,$B88,Buy_FcMonth,S$5,Buy_Status,"&lt;&gt;Paid")</f>
        <v>0</v>
      </c>
      <c r="T88" s="57">
        <f>SUMIFS(Buy_Fc,Buy_Line,$B88,Buy_FcMonth,T$5,Buy_Status,"&lt;&gt;Paid")</f>
        <v>0</v>
      </c>
    </row>
    <row r="89">
      <c r="B89" s="119" t="str">
        <f>Inputs!$B$52</f>
        <v>Test devices</v>
      </c>
      <c r="C89" s="6" t="n"/>
      <c r="D89" s="69">
        <f>SUM(F89:T89)</f>
        <v>3800</v>
      </c>
      <c r="E89" s="6" t="n"/>
      <c r="F89" s="57">
        <f>SUMIFS(Buy_Fc,Buy_Line,$B89,Buy_FcMonth,F$5,Buy_Status,"&lt;&gt;Paid")</f>
        <v>0</v>
      </c>
      <c r="G89" s="57">
        <f>SUMIFS(Buy_Fc,Buy_Line,$B89,Buy_FcMonth,G$5,Buy_Status,"&lt;&gt;Paid")</f>
        <v>0</v>
      </c>
      <c r="H89" s="57">
        <f>SUMIFS(Buy_Fc,Buy_Line,$B89,Buy_FcMonth,H$5,Buy_Status,"&lt;&gt;Paid")</f>
        <v>0</v>
      </c>
      <c r="I89" s="57">
        <f>SUMIFS(Buy_Fc,Buy_Line,$B89,Buy_FcMonth,I$5,Buy_Status,"&lt;&gt;Paid")</f>
        <v>0</v>
      </c>
      <c r="J89" s="57">
        <f>SUMIFS(Buy_Fc,Buy_Line,$B89,Buy_FcMonth,J$5,Buy_Status,"&lt;&gt;Paid")</f>
        <v>0</v>
      </c>
      <c r="K89" s="57">
        <f>SUMIFS(Buy_Fc,Buy_Line,$B89,Buy_FcMonth,K$5,Buy_Status,"&lt;&gt;Paid")</f>
        <v>0</v>
      </c>
      <c r="L89" s="57">
        <f>SUMIFS(Buy_Fc,Buy_Line,$B89,Buy_FcMonth,L$5,Buy_Status,"&lt;&gt;Paid")</f>
        <v>0</v>
      </c>
      <c r="M89" s="57">
        <f>SUMIFS(Buy_Fc,Buy_Line,$B89,Buy_FcMonth,M$5,Buy_Status,"&lt;&gt;Paid")</f>
        <v>0</v>
      </c>
      <c r="N89" s="57">
        <f>SUMIFS(Buy_Fc,Buy_Line,$B89,Buy_FcMonth,N$5,Buy_Status,"&lt;&gt;Paid")</f>
        <v>3800</v>
      </c>
      <c r="O89" s="57">
        <f>SUMIFS(Buy_Fc,Buy_Line,$B89,Buy_FcMonth,O$5,Buy_Status,"&lt;&gt;Paid")</f>
        <v>0</v>
      </c>
      <c r="P89" s="57">
        <f>SUMIFS(Buy_Fc,Buy_Line,$B89,Buy_FcMonth,P$5,Buy_Status,"&lt;&gt;Paid")</f>
        <v>0</v>
      </c>
      <c r="Q89" s="57">
        <f>SUMIFS(Buy_Fc,Buy_Line,$B89,Buy_FcMonth,Q$5,Buy_Status,"&lt;&gt;Paid")</f>
        <v>0</v>
      </c>
      <c r="R89" s="57">
        <f>SUMIFS(Buy_Fc,Buy_Line,$B89,Buy_FcMonth,R$5,Buy_Status,"&lt;&gt;Paid")</f>
        <v>0</v>
      </c>
      <c r="S89" s="57">
        <f>SUMIFS(Buy_Fc,Buy_Line,$B89,Buy_FcMonth,S$5,Buy_Status,"&lt;&gt;Paid")</f>
        <v>0</v>
      </c>
      <c r="T89" s="57">
        <f>SUMIFS(Buy_Fc,Buy_Line,$B89,Buy_FcMonth,T$5,Buy_Status,"&lt;&gt;Paid")</f>
        <v>0</v>
      </c>
    </row>
    <row r="90">
      <c r="B90" s="119" t="str">
        <f>Inputs!$B$53</f>
        <v>Launch content</v>
      </c>
      <c r="C90" s="6" t="n"/>
      <c r="D90" s="69">
        <f>SUM(F90:T90)</f>
        <v>22000</v>
      </c>
      <c r="E90" s="6" t="n"/>
      <c r="F90" s="57">
        <f>SUMIFS(Buy_Fc,Buy_Line,$B90,Buy_FcMonth,F$5,Buy_Status,"&lt;&gt;Paid")</f>
        <v>0</v>
      </c>
      <c r="G90" s="57">
        <f>SUMIFS(Buy_Fc,Buy_Line,$B90,Buy_FcMonth,G$5,Buy_Status,"&lt;&gt;Paid")</f>
        <v>0</v>
      </c>
      <c r="H90" s="57">
        <f>SUMIFS(Buy_Fc,Buy_Line,$B90,Buy_FcMonth,H$5,Buy_Status,"&lt;&gt;Paid")</f>
        <v>0</v>
      </c>
      <c r="I90" s="57">
        <f>SUMIFS(Buy_Fc,Buy_Line,$B90,Buy_FcMonth,I$5,Buy_Status,"&lt;&gt;Paid")</f>
        <v>0</v>
      </c>
      <c r="J90" s="57">
        <f>SUMIFS(Buy_Fc,Buy_Line,$B90,Buy_FcMonth,J$5,Buy_Status,"&lt;&gt;Paid")</f>
        <v>0</v>
      </c>
      <c r="K90" s="57">
        <f>SUMIFS(Buy_Fc,Buy_Line,$B90,Buy_FcMonth,K$5,Buy_Status,"&lt;&gt;Paid")</f>
        <v>0</v>
      </c>
      <c r="L90" s="57">
        <f>SUMIFS(Buy_Fc,Buy_Line,$B90,Buy_FcMonth,L$5,Buy_Status,"&lt;&gt;Paid")</f>
        <v>0</v>
      </c>
      <c r="M90" s="57">
        <f>SUMIFS(Buy_Fc,Buy_Line,$B90,Buy_FcMonth,M$5,Buy_Status,"&lt;&gt;Paid")</f>
        <v>0</v>
      </c>
      <c r="N90" s="57">
        <f>SUMIFS(Buy_Fc,Buy_Line,$B90,Buy_FcMonth,N$5,Buy_Status,"&lt;&gt;Paid")</f>
        <v>0</v>
      </c>
      <c r="O90" s="57">
        <f>SUMIFS(Buy_Fc,Buy_Line,$B90,Buy_FcMonth,O$5,Buy_Status,"&lt;&gt;Paid")</f>
        <v>22000</v>
      </c>
      <c r="P90" s="57">
        <f>SUMIFS(Buy_Fc,Buy_Line,$B90,Buy_FcMonth,P$5,Buy_Status,"&lt;&gt;Paid")</f>
        <v>0</v>
      </c>
      <c r="Q90" s="57">
        <f>SUMIFS(Buy_Fc,Buy_Line,$B90,Buy_FcMonth,Q$5,Buy_Status,"&lt;&gt;Paid")</f>
        <v>0</v>
      </c>
      <c r="R90" s="57">
        <f>SUMIFS(Buy_Fc,Buy_Line,$B90,Buy_FcMonth,R$5,Buy_Status,"&lt;&gt;Paid")</f>
        <v>0</v>
      </c>
      <c r="S90" s="57">
        <f>SUMIFS(Buy_Fc,Buy_Line,$B90,Buy_FcMonth,S$5,Buy_Status,"&lt;&gt;Paid")</f>
        <v>0</v>
      </c>
      <c r="T90" s="57">
        <f>SUMIFS(Buy_Fc,Buy_Line,$B90,Buy_FcMonth,T$5,Buy_Status,"&lt;&gt;Paid")</f>
        <v>0</v>
      </c>
    </row>
    <row r="91">
      <c r="B91" s="60" t="inlineStr">
        <is>
          <t>Vendors, current plan</t>
        </is>
      </c>
      <c r="C91" s="75" t="n"/>
      <c r="D91" s="61">
        <f>SUM(D86:D90)</f>
        <v>92300</v>
      </c>
      <c r="E91" s="75" t="n"/>
      <c r="F91" s="61">
        <f>SUM(F86:F90)</f>
        <v>0</v>
      </c>
      <c r="G91" s="61">
        <f>SUM(G86:G90)</f>
        <v>0</v>
      </c>
      <c r="H91" s="61">
        <f>SUM(H86:H90)</f>
        <v>0</v>
      </c>
      <c r="I91" s="61">
        <f>SUM(I86:I90)</f>
        <v>0</v>
      </c>
      <c r="J91" s="61">
        <f>SUM(J86:J90)</f>
        <v>0</v>
      </c>
      <c r="K91" s="61">
        <f>SUM(K86:K90)</f>
        <v>0</v>
      </c>
      <c r="L91" s="61">
        <f>SUM(L86:L90)</f>
        <v>0</v>
      </c>
      <c r="M91" s="61">
        <f>SUM(M86:M90)</f>
        <v>0</v>
      </c>
      <c r="N91" s="61">
        <f>SUM(N86:N90)</f>
        <v>56300</v>
      </c>
      <c r="O91" s="61">
        <f>SUM(O86:O90)</f>
        <v>36000</v>
      </c>
      <c r="P91" s="61">
        <f>SUM(P86:P90)</f>
        <v>0</v>
      </c>
      <c r="Q91" s="61">
        <f>SUM(Q86:Q90)</f>
        <v>0</v>
      </c>
      <c r="R91" s="61">
        <f>SUM(R86:R90)</f>
        <v>0</v>
      </c>
      <c r="S91" s="61">
        <f>SUM(S86:S90)</f>
        <v>0</v>
      </c>
      <c r="T91" s="61">
        <f>SUM(T86:T90)</f>
        <v>0</v>
      </c>
    </row>
    <row r="92"/>
    <row r="93" ht="22" customHeight="1">
      <c r="B93" s="39" t="inlineStr">
        <is>
          <t>9  Change requests</t>
        </is>
      </c>
      <c r="C93" s="40" t="n"/>
      <c r="D93" s="40" t="n"/>
      <c r="E93" s="40" t="n"/>
      <c r="F93" s="40" t="n"/>
      <c r="G93" s="40" t="n"/>
      <c r="H93" s="40" t="n"/>
      <c r="I93" s="40" t="n"/>
      <c r="J93" s="40" t="n"/>
      <c r="K93" s="40" t="n"/>
      <c r="L93" s="40" t="n"/>
      <c r="M93" s="40" t="n"/>
      <c r="N93" s="40" t="n"/>
      <c r="O93" s="40" t="n"/>
      <c r="P93" s="40" t="n"/>
      <c r="Q93" s="40" t="n"/>
      <c r="R93" s="40" t="n"/>
      <c r="S93" s="40" t="n"/>
      <c r="T93" s="40" t="n"/>
    </row>
    <row r="94">
      <c r="B94" s="41" t="inlineStr">
        <is>
          <t>Fixed bids in the month they are invoiced (Purchases 2).</t>
        </is>
      </c>
    </row>
    <row r="95">
      <c r="B95" s="13" t="inlineStr">
        <is>
          <t>Approved change requests</t>
        </is>
      </c>
      <c r="C95" s="6" t="n"/>
      <c r="D95" s="69">
        <f>SUM(F95:T95)</f>
        <v>59500</v>
      </c>
      <c r="E95" s="6" t="n"/>
      <c r="F95" s="57">
        <f>SUMIFS(CR_Cost,CR_Month,F$5,CR_Status,"Approved")</f>
        <v>0</v>
      </c>
      <c r="G95" s="57">
        <f>SUMIFS(CR_Cost,CR_Month,G$5,CR_Status,"Approved")</f>
        <v>0</v>
      </c>
      <c r="H95" s="57">
        <f>SUMIFS(CR_Cost,CR_Month,H$5,CR_Status,"Approved")</f>
        <v>0</v>
      </c>
      <c r="I95" s="57">
        <f>SUMIFS(CR_Cost,CR_Month,I$5,CR_Status,"Approved")</f>
        <v>0</v>
      </c>
      <c r="J95" s="57">
        <f>SUMIFS(CR_Cost,CR_Month,J$5,CR_Status,"Approved")</f>
        <v>0</v>
      </c>
      <c r="K95" s="57">
        <f>SUMIFS(CR_Cost,CR_Month,K$5,CR_Status,"Approved")</f>
        <v>0</v>
      </c>
      <c r="L95" s="57">
        <f>SUMIFS(CR_Cost,CR_Month,L$5,CR_Status,"Approved")</f>
        <v>0</v>
      </c>
      <c r="M95" s="57">
        <f>SUMIFS(CR_Cost,CR_Month,M$5,CR_Status,"Approved")</f>
        <v>38000</v>
      </c>
      <c r="N95" s="57">
        <f>SUMIFS(CR_Cost,CR_Month,N$5,CR_Status,"Approved")</f>
        <v>21500</v>
      </c>
      <c r="O95" s="57">
        <f>SUMIFS(CR_Cost,CR_Month,O$5,CR_Status,"Approved")</f>
        <v>0</v>
      </c>
      <c r="P95" s="57">
        <f>SUMIFS(CR_Cost,CR_Month,P$5,CR_Status,"Approved")</f>
        <v>0</v>
      </c>
      <c r="Q95" s="57">
        <f>SUMIFS(CR_Cost,CR_Month,Q$5,CR_Status,"Approved")</f>
        <v>0</v>
      </c>
      <c r="R95" s="57">
        <f>SUMIFS(CR_Cost,CR_Month,R$5,CR_Status,"Approved")</f>
        <v>0</v>
      </c>
      <c r="S95" s="57">
        <f>SUMIFS(CR_Cost,CR_Month,S$5,CR_Status,"Approved")</f>
        <v>0</v>
      </c>
      <c r="T95" s="57">
        <f>SUMIFS(CR_Cost,CR_Month,T$5,CR_Status,"Approved")</f>
        <v>0</v>
      </c>
    </row>
    <row r="96">
      <c r="B96" s="13" t="inlineStr">
        <is>
          <t>Pending change requests (what-if)</t>
        </is>
      </c>
      <c r="C96" s="6" t="n"/>
      <c r="D96" s="69">
        <f>SUM(F96:T96)</f>
        <v>0</v>
      </c>
      <c r="E96" s="6" t="n"/>
      <c r="F96" s="57">
        <f>IF(IncludePending="Yes",SUMIFS(CR_Cost,CR_Month,F$5,CR_Status,"Pending"),0)</f>
        <v>0</v>
      </c>
      <c r="G96" s="57">
        <f>IF(IncludePending="Yes",SUMIFS(CR_Cost,CR_Month,G$5,CR_Status,"Pending"),0)</f>
        <v>0</v>
      </c>
      <c r="H96" s="57">
        <f>IF(IncludePending="Yes",SUMIFS(CR_Cost,CR_Month,H$5,CR_Status,"Pending"),0)</f>
        <v>0</v>
      </c>
      <c r="I96" s="57">
        <f>IF(IncludePending="Yes",SUMIFS(CR_Cost,CR_Month,I$5,CR_Status,"Pending"),0)</f>
        <v>0</v>
      </c>
      <c r="J96" s="57">
        <f>IF(IncludePending="Yes",SUMIFS(CR_Cost,CR_Month,J$5,CR_Status,"Pending"),0)</f>
        <v>0</v>
      </c>
      <c r="K96" s="57">
        <f>IF(IncludePending="Yes",SUMIFS(CR_Cost,CR_Month,K$5,CR_Status,"Pending"),0)</f>
        <v>0</v>
      </c>
      <c r="L96" s="57">
        <f>IF(IncludePending="Yes",SUMIFS(CR_Cost,CR_Month,L$5,CR_Status,"Pending"),0)</f>
        <v>0</v>
      </c>
      <c r="M96" s="57">
        <f>IF(IncludePending="Yes",SUMIFS(CR_Cost,CR_Month,M$5,CR_Status,"Pending"),0)</f>
        <v>0</v>
      </c>
      <c r="N96" s="57">
        <f>IF(IncludePending="Yes",SUMIFS(CR_Cost,CR_Month,N$5,CR_Status,"Pending"),0)</f>
        <v>0</v>
      </c>
      <c r="O96" s="57">
        <f>IF(IncludePending="Yes",SUMIFS(CR_Cost,CR_Month,O$5,CR_Status,"Pending"),0)</f>
        <v>0</v>
      </c>
      <c r="P96" s="57">
        <f>IF(IncludePending="Yes",SUMIFS(CR_Cost,CR_Month,P$5,CR_Status,"Pending"),0)</f>
        <v>0</v>
      </c>
      <c r="Q96" s="57">
        <f>IF(IncludePending="Yes",SUMIFS(CR_Cost,CR_Month,Q$5,CR_Status,"Pending"),0)</f>
        <v>0</v>
      </c>
      <c r="R96" s="57">
        <f>IF(IncludePending="Yes",SUMIFS(CR_Cost,CR_Month,R$5,CR_Status,"Pending"),0)</f>
        <v>0</v>
      </c>
      <c r="S96" s="57">
        <f>IF(IncludePending="Yes",SUMIFS(CR_Cost,CR_Month,S$5,CR_Status,"Pending"),0)</f>
        <v>0</v>
      </c>
      <c r="T96" s="57">
        <f>IF(IncludePending="Yes",SUMIFS(CR_Cost,CR_Month,T$5,CR_Status,"Pending"),0)</f>
        <v>0</v>
      </c>
    </row>
    <row r="97">
      <c r="B97" s="60" t="inlineStr">
        <is>
          <t>Changes, current plan</t>
        </is>
      </c>
      <c r="C97" s="75" t="n"/>
      <c r="D97" s="61">
        <f>SUM(D95:D96)</f>
        <v>59500</v>
      </c>
      <c r="E97" s="75" t="n"/>
      <c r="F97" s="61">
        <f>SUM(F95:F96)</f>
        <v>0</v>
      </c>
      <c r="G97" s="61">
        <f>SUM(G95:G96)</f>
        <v>0</v>
      </c>
      <c r="H97" s="61">
        <f>SUM(H95:H96)</f>
        <v>0</v>
      </c>
      <c r="I97" s="61">
        <f>SUM(I95:I96)</f>
        <v>0</v>
      </c>
      <c r="J97" s="61">
        <f>SUM(J95:J96)</f>
        <v>0</v>
      </c>
      <c r="K97" s="61">
        <f>SUM(K95:K96)</f>
        <v>0</v>
      </c>
      <c r="L97" s="61">
        <f>SUM(L95:L96)</f>
        <v>0</v>
      </c>
      <c r="M97" s="61">
        <f>SUM(M95:M96)</f>
        <v>38000</v>
      </c>
      <c r="N97" s="61">
        <f>SUM(N95:N96)</f>
        <v>21500</v>
      </c>
      <c r="O97" s="61">
        <f>SUM(O95:O96)</f>
        <v>0</v>
      </c>
      <c r="P97" s="61">
        <f>SUM(P95:P96)</f>
        <v>0</v>
      </c>
      <c r="Q97" s="61">
        <f>SUM(Q95:Q96)</f>
        <v>0</v>
      </c>
      <c r="R97" s="61">
        <f>SUM(R95:R96)</f>
        <v>0</v>
      </c>
      <c r="S97" s="61">
        <f>SUM(S95:S96)</f>
        <v>0</v>
      </c>
      <c r="T97" s="61">
        <f>SUM(T95:T96)</f>
        <v>0</v>
      </c>
    </row>
    <row r="98"/>
    <row r="99" ht="22" customHeight="1">
      <c r="B99" s="39" t="inlineStr">
        <is>
          <t>10  Baseline plan by cost line</t>
        </is>
      </c>
      <c r="C99" s="40" t="n"/>
      <c r="D99" s="40" t="n"/>
      <c r="E99" s="40" t="n"/>
      <c r="F99" s="40" t="n"/>
      <c r="G99" s="40" t="n"/>
      <c r="H99" s="40" t="n"/>
      <c r="I99" s="40" t="n"/>
      <c r="J99" s="40" t="n"/>
      <c r="K99" s="40" t="n"/>
      <c r="L99" s="40" t="n"/>
      <c r="M99" s="40" t="n"/>
      <c r="N99" s="40" t="n"/>
      <c r="O99" s="40" t="n"/>
      <c r="P99" s="40" t="n"/>
      <c r="Q99" s="40" t="n"/>
      <c r="R99" s="40" t="n"/>
      <c r="S99" s="40" t="n"/>
      <c r="T99" s="40" t="n"/>
    </row>
    <row r="100">
      <c r="B100" s="41" t="inlineStr">
        <is>
          <t>The approved plan. The budget on Report is each row's total.</t>
        </is>
      </c>
    </row>
    <row r="101">
      <c r="B101" s="119" t="str">
        <f>Inputs!$B$41</f>
        <v>Product management</v>
      </c>
      <c r="C101" s="123" t="str">
        <f>Inputs!$C$41</f>
        <v>Team</v>
      </c>
      <c r="D101" s="69">
        <f>SUM(F101:T101)</f>
        <v>159500</v>
      </c>
      <c r="E101" s="6" t="n"/>
      <c r="F101" s="57">
        <f>F28</f>
        <v>14500</v>
      </c>
      <c r="G101" s="57">
        <f>G28</f>
        <v>14500</v>
      </c>
      <c r="H101" s="57">
        <f>H28</f>
        <v>14500</v>
      </c>
      <c r="I101" s="57">
        <f>I28</f>
        <v>14500</v>
      </c>
      <c r="J101" s="57">
        <f>J28</f>
        <v>14500</v>
      </c>
      <c r="K101" s="57">
        <f>K28</f>
        <v>14500</v>
      </c>
      <c r="L101" s="57">
        <f>L28</f>
        <v>14500</v>
      </c>
      <c r="M101" s="57">
        <f>M28</f>
        <v>14500</v>
      </c>
      <c r="N101" s="57">
        <f>N28</f>
        <v>14500</v>
      </c>
      <c r="O101" s="57">
        <f>O28</f>
        <v>14500</v>
      </c>
      <c r="P101" s="57">
        <f>P28</f>
        <v>7250</v>
      </c>
      <c r="Q101" s="57">
        <f>Q28</f>
        <v>7250</v>
      </c>
      <c r="R101" s="57">
        <f>R28</f>
        <v>0</v>
      </c>
      <c r="S101" s="57">
        <f>S28</f>
        <v>0</v>
      </c>
      <c r="T101" s="57">
        <f>T28</f>
        <v>0</v>
      </c>
    </row>
    <row r="102">
      <c r="B102" s="119" t="str">
        <f>Inputs!$B$42</f>
        <v>Product design</v>
      </c>
      <c r="C102" s="123" t="str">
        <f>Inputs!$C$42</f>
        <v>Team</v>
      </c>
      <c r="D102" s="69">
        <f>SUM(F102:T102)</f>
        <v>143750</v>
      </c>
      <c r="E102" s="6" t="n"/>
      <c r="F102" s="57">
        <f>F29</f>
        <v>12500</v>
      </c>
      <c r="G102" s="57">
        <f>G29</f>
        <v>25000</v>
      </c>
      <c r="H102" s="57">
        <f>H29</f>
        <v>25000</v>
      </c>
      <c r="I102" s="57">
        <f>I29</f>
        <v>12500</v>
      </c>
      <c r="J102" s="57">
        <f>J29</f>
        <v>12500</v>
      </c>
      <c r="K102" s="57">
        <f>K29</f>
        <v>12500</v>
      </c>
      <c r="L102" s="57">
        <f>L29</f>
        <v>12500</v>
      </c>
      <c r="M102" s="57">
        <f>M29</f>
        <v>12500</v>
      </c>
      <c r="N102" s="57">
        <f>N29</f>
        <v>6250</v>
      </c>
      <c r="O102" s="57">
        <f>O29</f>
        <v>6250</v>
      </c>
      <c r="P102" s="57">
        <f>P29</f>
        <v>3125</v>
      </c>
      <c r="Q102" s="57">
        <f>Q29</f>
        <v>3125</v>
      </c>
      <c r="R102" s="57">
        <f>R29</f>
        <v>0</v>
      </c>
      <c r="S102" s="57">
        <f>S29</f>
        <v>0</v>
      </c>
      <c r="T102" s="57">
        <f>T29</f>
        <v>0</v>
      </c>
    </row>
    <row r="103">
      <c r="B103" s="119" t="str">
        <f>Inputs!$B$43</f>
        <v>iOS development</v>
      </c>
      <c r="C103" s="123" t="str">
        <f>Inputs!$C$43</f>
        <v>Team</v>
      </c>
      <c r="D103" s="69">
        <f>SUM(F103:T103)</f>
        <v>224640</v>
      </c>
      <c r="E103" s="6" t="n"/>
      <c r="F103" s="57">
        <f>F30</f>
        <v>0</v>
      </c>
      <c r="G103" s="57">
        <f>G30</f>
        <v>7020</v>
      </c>
      <c r="H103" s="57">
        <f>H30</f>
        <v>7020</v>
      </c>
      <c r="I103" s="57">
        <f>I30</f>
        <v>28080</v>
      </c>
      <c r="J103" s="57">
        <f>J30</f>
        <v>28080</v>
      </c>
      <c r="K103" s="57">
        <f>K30</f>
        <v>28080</v>
      </c>
      <c r="L103" s="57">
        <f>L30</f>
        <v>28080</v>
      </c>
      <c r="M103" s="57">
        <f>M30</f>
        <v>28080</v>
      </c>
      <c r="N103" s="57">
        <f>N30</f>
        <v>28080</v>
      </c>
      <c r="O103" s="57">
        <f>O30</f>
        <v>28080</v>
      </c>
      <c r="P103" s="57">
        <f>P30</f>
        <v>7020</v>
      </c>
      <c r="Q103" s="57">
        <f>Q30</f>
        <v>7020</v>
      </c>
      <c r="R103" s="57">
        <f>R30</f>
        <v>0</v>
      </c>
      <c r="S103" s="57">
        <f>S30</f>
        <v>0</v>
      </c>
      <c r="T103" s="57">
        <f>T30</f>
        <v>0</v>
      </c>
    </row>
    <row r="104">
      <c r="B104" s="119" t="str">
        <f>Inputs!$B$44</f>
        <v>Android development</v>
      </c>
      <c r="C104" s="123" t="str">
        <f>Inputs!$C$44</f>
        <v>Team</v>
      </c>
      <c r="D104" s="69">
        <f>SUM(F104:T104)</f>
        <v>218880</v>
      </c>
      <c r="E104" s="6" t="n"/>
      <c r="F104" s="57">
        <f>F31</f>
        <v>0</v>
      </c>
      <c r="G104" s="57">
        <f>G31</f>
        <v>6840</v>
      </c>
      <c r="H104" s="57">
        <f>H31</f>
        <v>6840</v>
      </c>
      <c r="I104" s="57">
        <f>I31</f>
        <v>27360</v>
      </c>
      <c r="J104" s="57">
        <f>J31</f>
        <v>27360</v>
      </c>
      <c r="K104" s="57">
        <f>K31</f>
        <v>27360</v>
      </c>
      <c r="L104" s="57">
        <f>L31</f>
        <v>27360</v>
      </c>
      <c r="M104" s="57">
        <f>M31</f>
        <v>27360</v>
      </c>
      <c r="N104" s="57">
        <f>N31</f>
        <v>27360</v>
      </c>
      <c r="O104" s="57">
        <f>O31</f>
        <v>27360</v>
      </c>
      <c r="P104" s="57">
        <f>P31</f>
        <v>6840</v>
      </c>
      <c r="Q104" s="57">
        <f>Q31</f>
        <v>6840</v>
      </c>
      <c r="R104" s="57">
        <f>R31</f>
        <v>0</v>
      </c>
      <c r="S104" s="57">
        <f>S31</f>
        <v>0</v>
      </c>
      <c r="T104" s="57">
        <f>T31</f>
        <v>0</v>
      </c>
    </row>
    <row r="105">
      <c r="B105" s="119" t="str">
        <f>Inputs!$B$45</f>
        <v>Backend &amp; integrations</v>
      </c>
      <c r="C105" s="123" t="str">
        <f>Inputs!$C$45</f>
        <v>Team</v>
      </c>
      <c r="D105" s="69">
        <f>SUM(F105:T105)</f>
        <v>329000</v>
      </c>
      <c r="E105" s="6" t="n"/>
      <c r="F105" s="57">
        <f>F32</f>
        <v>7000</v>
      </c>
      <c r="G105" s="57">
        <f>G32</f>
        <v>14000</v>
      </c>
      <c r="H105" s="57">
        <f>H32</f>
        <v>14000</v>
      </c>
      <c r="I105" s="57">
        <f>I32</f>
        <v>42000</v>
      </c>
      <c r="J105" s="57">
        <f>J32</f>
        <v>42000</v>
      </c>
      <c r="K105" s="57">
        <f>K32</f>
        <v>42000</v>
      </c>
      <c r="L105" s="57">
        <f>L32</f>
        <v>42000</v>
      </c>
      <c r="M105" s="57">
        <f>M32</f>
        <v>42000</v>
      </c>
      <c r="N105" s="57">
        <f>N32</f>
        <v>28000</v>
      </c>
      <c r="O105" s="57">
        <f>O32</f>
        <v>28000</v>
      </c>
      <c r="P105" s="57">
        <f>P32</f>
        <v>14000</v>
      </c>
      <c r="Q105" s="57">
        <f>Q32</f>
        <v>14000</v>
      </c>
      <c r="R105" s="57">
        <f>R32</f>
        <v>0</v>
      </c>
      <c r="S105" s="57">
        <f>S32</f>
        <v>0</v>
      </c>
      <c r="T105" s="57">
        <f>T32</f>
        <v>0</v>
      </c>
    </row>
    <row r="106">
      <c r="B106" s="119" t="str">
        <f>Inputs!$B$46</f>
        <v>Quality assurance</v>
      </c>
      <c r="C106" s="123" t="str">
        <f>Inputs!$C$46</f>
        <v>Team</v>
      </c>
      <c r="D106" s="69">
        <f>SUM(F106:T106)</f>
        <v>126000</v>
      </c>
      <c r="E106" s="6" t="n"/>
      <c r="F106" s="57">
        <f>F33</f>
        <v>0</v>
      </c>
      <c r="G106" s="57">
        <f>G33</f>
        <v>0</v>
      </c>
      <c r="H106" s="57">
        <f>H33</f>
        <v>0</v>
      </c>
      <c r="I106" s="57">
        <f>I33</f>
        <v>15120</v>
      </c>
      <c r="J106" s="57">
        <f>J33</f>
        <v>15120</v>
      </c>
      <c r="K106" s="57">
        <f>K33</f>
        <v>15120</v>
      </c>
      <c r="L106" s="57">
        <f>L33</f>
        <v>15120</v>
      </c>
      <c r="M106" s="57">
        <f>M33</f>
        <v>15120</v>
      </c>
      <c r="N106" s="57">
        <f>N33</f>
        <v>20160</v>
      </c>
      <c r="O106" s="57">
        <f>O33</f>
        <v>20160</v>
      </c>
      <c r="P106" s="57">
        <f>P33</f>
        <v>5040</v>
      </c>
      <c r="Q106" s="57">
        <f>Q33</f>
        <v>5040</v>
      </c>
      <c r="R106" s="57">
        <f>R33</f>
        <v>0</v>
      </c>
      <c r="S106" s="57">
        <f>S33</f>
        <v>0</v>
      </c>
      <c r="T106" s="57">
        <f>T33</f>
        <v>0</v>
      </c>
    </row>
    <row r="107">
      <c r="B107" s="119" t="str">
        <f>Inputs!$B$47</f>
        <v>Cloud &amp; DevOps</v>
      </c>
      <c r="C107" s="123" t="str">
        <f>Inputs!$C$47</f>
        <v>Team</v>
      </c>
      <c r="D107" s="69">
        <f>SUM(F107:T107)</f>
        <v>90625</v>
      </c>
      <c r="E107" s="6" t="n"/>
      <c r="F107" s="57">
        <f>F34</f>
        <v>3625</v>
      </c>
      <c r="G107" s="57">
        <f>G34</f>
        <v>3625</v>
      </c>
      <c r="H107" s="57">
        <f>H34</f>
        <v>3625</v>
      </c>
      <c r="I107" s="57">
        <f>I34</f>
        <v>7250</v>
      </c>
      <c r="J107" s="57">
        <f>J34</f>
        <v>7250</v>
      </c>
      <c r="K107" s="57">
        <f>K34</f>
        <v>7250</v>
      </c>
      <c r="L107" s="57">
        <f>L34</f>
        <v>7250</v>
      </c>
      <c r="M107" s="57">
        <f>M34</f>
        <v>7250</v>
      </c>
      <c r="N107" s="57">
        <f>N34</f>
        <v>14500</v>
      </c>
      <c r="O107" s="57">
        <f>O34</f>
        <v>14500</v>
      </c>
      <c r="P107" s="57">
        <f>P34</f>
        <v>7250</v>
      </c>
      <c r="Q107" s="57">
        <f>Q34</f>
        <v>7250</v>
      </c>
      <c r="R107" s="57">
        <f>R34</f>
        <v>0</v>
      </c>
      <c r="S107" s="57">
        <f>S34</f>
        <v>0</v>
      </c>
      <c r="T107" s="57">
        <f>T34</f>
        <v>0</v>
      </c>
    </row>
    <row r="108">
      <c r="B108" s="119" t="str">
        <f>Inputs!$B$48</f>
        <v>Engineering lead</v>
      </c>
      <c r="C108" s="123" t="str">
        <f>Inputs!$C$48</f>
        <v>Team</v>
      </c>
      <c r="D108" s="69">
        <f>SUM(F108:T108)</f>
        <v>173250</v>
      </c>
      <c r="E108" s="6" t="n"/>
      <c r="F108" s="57">
        <f>F35</f>
        <v>8250</v>
      </c>
      <c r="G108" s="57">
        <f>G35</f>
        <v>16500</v>
      </c>
      <c r="H108" s="57">
        <f>H35</f>
        <v>16500</v>
      </c>
      <c r="I108" s="57">
        <f>I35</f>
        <v>16500</v>
      </c>
      <c r="J108" s="57">
        <f>J35</f>
        <v>16500</v>
      </c>
      <c r="K108" s="57">
        <f>K35</f>
        <v>16500</v>
      </c>
      <c r="L108" s="57">
        <f>L35</f>
        <v>16500</v>
      </c>
      <c r="M108" s="57">
        <f>M35</f>
        <v>16500</v>
      </c>
      <c r="N108" s="57">
        <f>N35</f>
        <v>16500</v>
      </c>
      <c r="O108" s="57">
        <f>O35</f>
        <v>16500</v>
      </c>
      <c r="P108" s="57">
        <f>P35</f>
        <v>8250</v>
      </c>
      <c r="Q108" s="57">
        <f>Q35</f>
        <v>8250</v>
      </c>
      <c r="R108" s="57">
        <f>R35</f>
        <v>0</v>
      </c>
      <c r="S108" s="57">
        <f>S35</f>
        <v>0</v>
      </c>
      <c r="T108" s="57">
        <f>T35</f>
        <v>0</v>
      </c>
    </row>
    <row r="109">
      <c r="B109" s="119" t="str">
        <f>Inputs!$B$49</f>
        <v>User research &amp; testing</v>
      </c>
      <c r="C109" s="123" t="str">
        <f>Inputs!$C$49</f>
        <v>Purchases</v>
      </c>
      <c r="D109" s="69">
        <f>SUM(F109:T109)</f>
        <v>42000</v>
      </c>
      <c r="E109" s="6" t="n"/>
      <c r="F109" s="57">
        <f>F77</f>
        <v>0</v>
      </c>
      <c r="G109" s="57">
        <f>G77</f>
        <v>24000</v>
      </c>
      <c r="H109" s="57">
        <f>H77</f>
        <v>0</v>
      </c>
      <c r="I109" s="57">
        <f>I77</f>
        <v>0</v>
      </c>
      <c r="J109" s="57">
        <f>J77</f>
        <v>0</v>
      </c>
      <c r="K109" s="57">
        <f>K77</f>
        <v>0</v>
      </c>
      <c r="L109" s="57">
        <f>L77</f>
        <v>0</v>
      </c>
      <c r="M109" s="57">
        <f>M77</f>
        <v>0</v>
      </c>
      <c r="N109" s="57">
        <f>N77</f>
        <v>18000</v>
      </c>
      <c r="O109" s="57">
        <f>O77</f>
        <v>0</v>
      </c>
      <c r="P109" s="57">
        <f>P77</f>
        <v>0</v>
      </c>
      <c r="Q109" s="57">
        <f>Q77</f>
        <v>0</v>
      </c>
      <c r="R109" s="57">
        <f>R77</f>
        <v>0</v>
      </c>
      <c r="S109" s="57">
        <f>S77</f>
        <v>0</v>
      </c>
      <c r="T109" s="57">
        <f>T77</f>
        <v>0</v>
      </c>
    </row>
    <row r="110">
      <c r="B110" s="119" t="str">
        <f>Inputs!$B$50</f>
        <v>Security &amp; accessibility</v>
      </c>
      <c r="C110" s="123" t="str">
        <f>Inputs!$C$50</f>
        <v>Purchases</v>
      </c>
      <c r="D110" s="69">
        <f>SUM(F110:T110)</f>
        <v>46000</v>
      </c>
      <c r="E110" s="6" t="n"/>
      <c r="F110" s="57">
        <f>F78</f>
        <v>0</v>
      </c>
      <c r="G110" s="57">
        <f>G78</f>
        <v>0</v>
      </c>
      <c r="H110" s="57">
        <f>H78</f>
        <v>0</v>
      </c>
      <c r="I110" s="57">
        <f>I78</f>
        <v>0</v>
      </c>
      <c r="J110" s="57">
        <f>J78</f>
        <v>0</v>
      </c>
      <c r="K110" s="57">
        <f>K78</f>
        <v>0</v>
      </c>
      <c r="L110" s="57">
        <f>L78</f>
        <v>0</v>
      </c>
      <c r="M110" s="57">
        <f>M78</f>
        <v>0</v>
      </c>
      <c r="N110" s="57">
        <f>N78</f>
        <v>32000</v>
      </c>
      <c r="O110" s="57">
        <f>O78</f>
        <v>14000</v>
      </c>
      <c r="P110" s="57">
        <f>P78</f>
        <v>0</v>
      </c>
      <c r="Q110" s="57">
        <f>Q78</f>
        <v>0</v>
      </c>
      <c r="R110" s="57">
        <f>R78</f>
        <v>0</v>
      </c>
      <c r="S110" s="57">
        <f>S78</f>
        <v>0</v>
      </c>
      <c r="T110" s="57">
        <f>T78</f>
        <v>0</v>
      </c>
    </row>
    <row r="111">
      <c r="B111" s="119" t="str">
        <f>Inputs!$B$51</f>
        <v>Payment certification</v>
      </c>
      <c r="C111" s="123" t="str">
        <f>Inputs!$C$51</f>
        <v>Purchases</v>
      </c>
      <c r="D111" s="69">
        <f>SUM(F111:T111)</f>
        <v>9500</v>
      </c>
      <c r="E111" s="6" t="n"/>
      <c r="F111" s="57">
        <f>F79</f>
        <v>0</v>
      </c>
      <c r="G111" s="57">
        <f>G79</f>
        <v>0</v>
      </c>
      <c r="H111" s="57">
        <f>H79</f>
        <v>0</v>
      </c>
      <c r="I111" s="57">
        <f>I79</f>
        <v>0</v>
      </c>
      <c r="J111" s="57">
        <f>J79</f>
        <v>0</v>
      </c>
      <c r="K111" s="57">
        <f>K79</f>
        <v>9500</v>
      </c>
      <c r="L111" s="57">
        <f>L79</f>
        <v>0</v>
      </c>
      <c r="M111" s="57">
        <f>M79</f>
        <v>0</v>
      </c>
      <c r="N111" s="57">
        <f>N79</f>
        <v>0</v>
      </c>
      <c r="O111" s="57">
        <f>O79</f>
        <v>0</v>
      </c>
      <c r="P111" s="57">
        <f>P79</f>
        <v>0</v>
      </c>
      <c r="Q111" s="57">
        <f>Q79</f>
        <v>0</v>
      </c>
      <c r="R111" s="57">
        <f>R79</f>
        <v>0</v>
      </c>
      <c r="S111" s="57">
        <f>S79</f>
        <v>0</v>
      </c>
      <c r="T111" s="57">
        <f>T79</f>
        <v>0</v>
      </c>
    </row>
    <row r="112">
      <c r="B112" s="119" t="str">
        <f>Inputs!$B$52</f>
        <v>Test devices</v>
      </c>
      <c r="C112" s="123" t="str">
        <f>Inputs!$C$52</f>
        <v>Purchases</v>
      </c>
      <c r="D112" s="69">
        <f>SUM(F112:T112)</f>
        <v>16000</v>
      </c>
      <c r="E112" s="6" t="n"/>
      <c r="F112" s="57">
        <f>F80</f>
        <v>0</v>
      </c>
      <c r="G112" s="57">
        <f>G80</f>
        <v>0</v>
      </c>
      <c r="H112" s="57">
        <f>H80</f>
        <v>0</v>
      </c>
      <c r="I112" s="57">
        <f>I80</f>
        <v>16000</v>
      </c>
      <c r="J112" s="57">
        <f>J80</f>
        <v>0</v>
      </c>
      <c r="K112" s="57">
        <f>K80</f>
        <v>0</v>
      </c>
      <c r="L112" s="57">
        <f>L80</f>
        <v>0</v>
      </c>
      <c r="M112" s="57">
        <f>M80</f>
        <v>0</v>
      </c>
      <c r="N112" s="57">
        <f>N80</f>
        <v>0</v>
      </c>
      <c r="O112" s="57">
        <f>O80</f>
        <v>0</v>
      </c>
      <c r="P112" s="57">
        <f>P80</f>
        <v>0</v>
      </c>
      <c r="Q112" s="57">
        <f>Q80</f>
        <v>0</v>
      </c>
      <c r="R112" s="57">
        <f>R80</f>
        <v>0</v>
      </c>
      <c r="S112" s="57">
        <f>S80</f>
        <v>0</v>
      </c>
      <c r="T112" s="57">
        <f>T80</f>
        <v>0</v>
      </c>
    </row>
    <row r="113">
      <c r="B113" s="119" t="str">
        <f>Inputs!$B$53</f>
        <v>Launch content</v>
      </c>
      <c r="C113" s="123" t="str">
        <f>Inputs!$C$53</f>
        <v>Purchases</v>
      </c>
      <c r="D113" s="69">
        <f>SUM(F113:T113)</f>
        <v>22000</v>
      </c>
      <c r="E113" s="6" t="n"/>
      <c r="F113" s="57">
        <f>F81</f>
        <v>0</v>
      </c>
      <c r="G113" s="57">
        <f>G81</f>
        <v>0</v>
      </c>
      <c r="H113" s="57">
        <f>H81</f>
        <v>0</v>
      </c>
      <c r="I113" s="57">
        <f>I81</f>
        <v>0</v>
      </c>
      <c r="J113" s="57">
        <f>J81</f>
        <v>0</v>
      </c>
      <c r="K113" s="57">
        <f>K81</f>
        <v>0</v>
      </c>
      <c r="L113" s="57">
        <f>L81</f>
        <v>0</v>
      </c>
      <c r="M113" s="57">
        <f>M81</f>
        <v>0</v>
      </c>
      <c r="N113" s="57">
        <f>N81</f>
        <v>0</v>
      </c>
      <c r="O113" s="57">
        <f>O81</f>
        <v>22000</v>
      </c>
      <c r="P113" s="57">
        <f>P81</f>
        <v>0</v>
      </c>
      <c r="Q113" s="57">
        <f>Q81</f>
        <v>0</v>
      </c>
      <c r="R113" s="57">
        <f>R81</f>
        <v>0</v>
      </c>
      <c r="S113" s="57">
        <f>S81</f>
        <v>0</v>
      </c>
      <c r="T113" s="57">
        <f>T81</f>
        <v>0</v>
      </c>
    </row>
    <row r="114">
      <c r="B114" s="119" t="str">
        <f>Inputs!$B$54</f>
        <v>Cloud hosting</v>
      </c>
      <c r="C114" s="123" t="str">
        <f>Inputs!$C$54</f>
        <v>Platform</v>
      </c>
      <c r="D114" s="69">
        <f>SUM(F114:T114)</f>
        <v>70300</v>
      </c>
      <c r="E114" s="6" t="n"/>
      <c r="F114" s="57">
        <f>F64</f>
        <v>400</v>
      </c>
      <c r="G114" s="57">
        <f>G64</f>
        <v>1200</v>
      </c>
      <c r="H114" s="57">
        <f>H64</f>
        <v>1200</v>
      </c>
      <c r="I114" s="57">
        <f>I64</f>
        <v>5500</v>
      </c>
      <c r="J114" s="57">
        <f>J64</f>
        <v>5500</v>
      </c>
      <c r="K114" s="57">
        <f>K64</f>
        <v>5500</v>
      </c>
      <c r="L114" s="57">
        <f>L64</f>
        <v>5500</v>
      </c>
      <c r="M114" s="57">
        <f>M64</f>
        <v>5500</v>
      </c>
      <c r="N114" s="57">
        <f>N64</f>
        <v>8000</v>
      </c>
      <c r="O114" s="57">
        <f>O64</f>
        <v>8000</v>
      </c>
      <c r="P114" s="57">
        <f>P64</f>
        <v>12000</v>
      </c>
      <c r="Q114" s="57">
        <f>Q64</f>
        <v>12000</v>
      </c>
      <c r="R114" s="57">
        <f>R64</f>
        <v>0</v>
      </c>
      <c r="S114" s="57">
        <f>S64</f>
        <v>0</v>
      </c>
      <c r="T114" s="57">
        <f>T64</f>
        <v>0</v>
      </c>
    </row>
    <row r="115">
      <c r="B115" s="119" t="str">
        <f>Inputs!$B$55</f>
        <v>Software &amp; tools</v>
      </c>
      <c r="C115" s="123" t="str">
        <f>Inputs!$C$55</f>
        <v>Platform</v>
      </c>
      <c r="D115" s="69">
        <f>SUM(F115:T115)</f>
        <v>54000</v>
      </c>
      <c r="E115" s="6" t="n"/>
      <c r="F115" s="57">
        <f>F65</f>
        <v>1800</v>
      </c>
      <c r="G115" s="57">
        <f>G65</f>
        <v>3200</v>
      </c>
      <c r="H115" s="57">
        <f>H65</f>
        <v>3200</v>
      </c>
      <c r="I115" s="57">
        <f>I65</f>
        <v>5400</v>
      </c>
      <c r="J115" s="57">
        <f>J65</f>
        <v>5400</v>
      </c>
      <c r="K115" s="57">
        <f>K65</f>
        <v>5400</v>
      </c>
      <c r="L115" s="57">
        <f>L65</f>
        <v>5400</v>
      </c>
      <c r="M115" s="57">
        <f>M65</f>
        <v>5400</v>
      </c>
      <c r="N115" s="57">
        <f>N65</f>
        <v>5400</v>
      </c>
      <c r="O115" s="57">
        <f>O65</f>
        <v>5400</v>
      </c>
      <c r="P115" s="57">
        <f>P65</f>
        <v>4000</v>
      </c>
      <c r="Q115" s="57">
        <f>Q65</f>
        <v>4000</v>
      </c>
      <c r="R115" s="57">
        <f>R65</f>
        <v>0</v>
      </c>
      <c r="S115" s="57">
        <f>S65</f>
        <v>0</v>
      </c>
      <c r="T115" s="57">
        <f>T65</f>
        <v>0</v>
      </c>
    </row>
    <row r="116">
      <c r="B116" s="119" t="str">
        <f>Inputs!$B$56</f>
        <v>Third-party services</v>
      </c>
      <c r="C116" s="123" t="str">
        <f>Inputs!$C$56</f>
        <v>Platform</v>
      </c>
      <c r="D116" s="69">
        <f>SUM(F116:T116)</f>
        <v>21800</v>
      </c>
      <c r="E116" s="6" t="n"/>
      <c r="F116" s="57">
        <f>F66</f>
        <v>0</v>
      </c>
      <c r="G116" s="57">
        <f>G66</f>
        <v>300</v>
      </c>
      <c r="H116" s="57">
        <f>H66</f>
        <v>300</v>
      </c>
      <c r="I116" s="57">
        <f>I66</f>
        <v>1800</v>
      </c>
      <c r="J116" s="57">
        <f>J66</f>
        <v>1800</v>
      </c>
      <c r="K116" s="57">
        <f>K66</f>
        <v>1800</v>
      </c>
      <c r="L116" s="57">
        <f>L66</f>
        <v>1800</v>
      </c>
      <c r="M116" s="57">
        <f>M66</f>
        <v>1800</v>
      </c>
      <c r="N116" s="57">
        <f>N66</f>
        <v>2600</v>
      </c>
      <c r="O116" s="57">
        <f>O66</f>
        <v>2600</v>
      </c>
      <c r="P116" s="57">
        <f>P66</f>
        <v>3500</v>
      </c>
      <c r="Q116" s="57">
        <f>Q66</f>
        <v>3500</v>
      </c>
      <c r="R116" s="57">
        <f>R66</f>
        <v>0</v>
      </c>
      <c r="S116" s="57">
        <f>S66</f>
        <v>0</v>
      </c>
      <c r="T116" s="57">
        <f>T66</f>
        <v>0</v>
      </c>
    </row>
    <row r="117">
      <c r="B117" s="119" t="str">
        <f>Inputs!$B$57</f>
        <v>Approved changes</v>
      </c>
      <c r="C117" s="123" t="str">
        <f>Inputs!$C$57</f>
        <v>Changes</v>
      </c>
      <c r="D117" s="69">
        <f>SUM(F117:T117)</f>
        <v>0</v>
      </c>
      <c r="E117" s="6" t="n"/>
      <c r="F117" s="124" t="n"/>
      <c r="G117" s="124" t="n"/>
      <c r="H117" s="124" t="n"/>
      <c r="I117" s="124" t="n"/>
      <c r="J117" s="124" t="n"/>
      <c r="K117" s="124" t="n"/>
      <c r="L117" s="124" t="n"/>
      <c r="M117" s="124" t="n"/>
      <c r="N117" s="124" t="n"/>
      <c r="O117" s="124" t="n"/>
      <c r="P117" s="124" t="n"/>
      <c r="Q117" s="124" t="n"/>
      <c r="R117" s="124" t="n"/>
      <c r="S117" s="124" t="n"/>
      <c r="T117" s="124" t="n"/>
    </row>
    <row r="118">
      <c r="B118" s="60" t="inlineStr">
        <is>
          <t>Baseline plan</t>
        </is>
      </c>
      <c r="C118" s="75" t="n"/>
      <c r="D118" s="61">
        <f>SUM(D101:D117)</f>
        <v>1747245</v>
      </c>
      <c r="E118" s="75" t="n"/>
      <c r="F118" s="61">
        <f>SUM(F101:F117)</f>
        <v>48075</v>
      </c>
      <c r="G118" s="61">
        <f>SUM(G101:G117)</f>
        <v>116185</v>
      </c>
      <c r="H118" s="61">
        <f>SUM(H101:H117)</f>
        <v>92185</v>
      </c>
      <c r="I118" s="61">
        <f>SUM(I101:I117)</f>
        <v>192010</v>
      </c>
      <c r="J118" s="61">
        <f>SUM(J101:J117)</f>
        <v>176010</v>
      </c>
      <c r="K118" s="61">
        <f>SUM(K101:K117)</f>
        <v>185510</v>
      </c>
      <c r="L118" s="61">
        <f>SUM(L101:L117)</f>
        <v>176010</v>
      </c>
      <c r="M118" s="61">
        <f>SUM(M101:M117)</f>
        <v>176010</v>
      </c>
      <c r="N118" s="61">
        <f>SUM(N101:N117)</f>
        <v>221350</v>
      </c>
      <c r="O118" s="61">
        <f>SUM(O101:O117)</f>
        <v>207350</v>
      </c>
      <c r="P118" s="61">
        <f>SUM(P101:P117)</f>
        <v>78275</v>
      </c>
      <c r="Q118" s="61">
        <f>SUM(Q101:Q117)</f>
        <v>78275</v>
      </c>
      <c r="R118" s="61">
        <f>SUM(R101:R117)</f>
        <v>0</v>
      </c>
      <c r="S118" s="61">
        <f>SUM(S101:S117)</f>
        <v>0</v>
      </c>
      <c r="T118" s="61">
        <f>SUM(T101:T117)</f>
        <v>0</v>
      </c>
    </row>
    <row r="119"/>
    <row r="120" ht="22" customHeight="1">
      <c r="B120" s="39" t="inlineStr">
        <is>
          <t>11  Actuals by cost line</t>
        </is>
      </c>
      <c r="C120" s="40" t="n"/>
      <c r="D120" s="40" t="n"/>
      <c r="E120" s="40" t="n"/>
      <c r="F120" s="40" t="n"/>
      <c r="G120" s="40" t="n"/>
      <c r="H120" s="40" t="n"/>
      <c r="I120" s="40" t="n"/>
      <c r="J120" s="40" t="n"/>
      <c r="K120" s="40" t="n"/>
      <c r="L120" s="40" t="n"/>
      <c r="M120" s="40" t="n"/>
      <c r="N120" s="40" t="n"/>
      <c r="O120" s="40" t="n"/>
      <c r="P120" s="40" t="n"/>
      <c r="Q120" s="40" t="n"/>
      <c r="R120" s="40" t="n"/>
      <c r="S120" s="40" t="n"/>
      <c r="T120" s="40" t="n"/>
    </row>
    <row r="121">
      <c r="B121" s="41" t="inlineStr">
        <is>
          <t>From the Actuals table, closed months only.</t>
        </is>
      </c>
    </row>
    <row r="122">
      <c r="B122" s="119" t="str">
        <f>Inputs!$B$41</f>
        <v>Product management</v>
      </c>
      <c r="C122" s="123" t="str">
        <f>Inputs!$C$41</f>
        <v>Team</v>
      </c>
      <c r="D122" s="69">
        <f>SUM(F122:T122)</f>
        <v>87000</v>
      </c>
      <c r="E122" s="6" t="n"/>
      <c r="F122" s="76">
        <f>SUMIFS(Ledger[Amount],Ledger[Cost line],$B122,Ledger[Period],F$5)*F$8</f>
        <v>14500</v>
      </c>
      <c r="G122" s="76">
        <f>SUMIFS(Ledger[Amount],Ledger[Cost line],$B122,Ledger[Period],G$5)*G$8</f>
        <v>14500</v>
      </c>
      <c r="H122" s="76">
        <f>SUMIFS(Ledger[Amount],Ledger[Cost line],$B122,Ledger[Period],H$5)*H$8</f>
        <v>14500</v>
      </c>
      <c r="I122" s="76">
        <f>SUMIFS(Ledger[Amount],Ledger[Cost line],$B122,Ledger[Period],I$5)*I$8</f>
        <v>14500</v>
      </c>
      <c r="J122" s="76">
        <f>SUMIFS(Ledger[Amount],Ledger[Cost line],$B122,Ledger[Period],J$5)*J$8</f>
        <v>14500</v>
      </c>
      <c r="K122" s="76">
        <f>SUMIFS(Ledger[Amount],Ledger[Cost line],$B122,Ledger[Period],K$5)*K$8</f>
        <v>14500</v>
      </c>
      <c r="L122" s="76">
        <f>SUMIFS(Ledger[Amount],Ledger[Cost line],$B122,Ledger[Period],L$5)*L$8</f>
        <v>0</v>
      </c>
      <c r="M122" s="76">
        <f>SUMIFS(Ledger[Amount],Ledger[Cost line],$B122,Ledger[Period],M$5)*M$8</f>
        <v>0</v>
      </c>
      <c r="N122" s="76">
        <f>SUMIFS(Ledger[Amount],Ledger[Cost line],$B122,Ledger[Period],N$5)*N$8</f>
        <v>0</v>
      </c>
      <c r="O122" s="76">
        <f>SUMIFS(Ledger[Amount],Ledger[Cost line],$B122,Ledger[Period],O$5)*O$8</f>
        <v>0</v>
      </c>
      <c r="P122" s="76">
        <f>SUMIFS(Ledger[Amount],Ledger[Cost line],$B122,Ledger[Period],P$5)*P$8</f>
        <v>0</v>
      </c>
      <c r="Q122" s="76">
        <f>SUMIFS(Ledger[Amount],Ledger[Cost line],$B122,Ledger[Period],Q$5)*Q$8</f>
        <v>0</v>
      </c>
      <c r="R122" s="76">
        <f>SUMIFS(Ledger[Amount],Ledger[Cost line],$B122,Ledger[Period],R$5)*R$8</f>
        <v>0</v>
      </c>
      <c r="S122" s="76">
        <f>SUMIFS(Ledger[Amount],Ledger[Cost line],$B122,Ledger[Period],S$5)*S$8</f>
        <v>0</v>
      </c>
      <c r="T122" s="76">
        <f>SUMIFS(Ledger[Amount],Ledger[Cost line],$B122,Ledger[Period],T$5)*T$8</f>
        <v>0</v>
      </c>
    </row>
    <row r="123">
      <c r="B123" s="119" t="str">
        <f>Inputs!$B$42</f>
        <v>Product design</v>
      </c>
      <c r="C123" s="123" t="str">
        <f>Inputs!$C$42</f>
        <v>Team</v>
      </c>
      <c r="D123" s="69">
        <f>SUM(F123:T123)</f>
        <v>84375</v>
      </c>
      <c r="E123" s="6" t="n"/>
      <c r="F123" s="76">
        <f>SUMIFS(Ledger[Amount],Ledger[Cost line],$B123,Ledger[Period],F$5)*F$8</f>
        <v>12500</v>
      </c>
      <c r="G123" s="76">
        <f>SUMIFS(Ledger[Amount],Ledger[Cost line],$B123,Ledger[Period],G$5)*G$8</f>
        <v>18750</v>
      </c>
      <c r="H123" s="76">
        <f>SUMIFS(Ledger[Amount],Ledger[Cost line],$B123,Ledger[Period],H$5)*H$8</f>
        <v>25000</v>
      </c>
      <c r="I123" s="76">
        <f>SUMIFS(Ledger[Amount],Ledger[Cost line],$B123,Ledger[Period],I$5)*I$8</f>
        <v>9375</v>
      </c>
      <c r="J123" s="76">
        <f>SUMIFS(Ledger[Amount],Ledger[Cost line],$B123,Ledger[Period],J$5)*J$8</f>
        <v>9375</v>
      </c>
      <c r="K123" s="76">
        <f>SUMIFS(Ledger[Amount],Ledger[Cost line],$B123,Ledger[Period],K$5)*K$8</f>
        <v>9375</v>
      </c>
      <c r="L123" s="76">
        <f>SUMIFS(Ledger[Amount],Ledger[Cost line],$B123,Ledger[Period],L$5)*L$8</f>
        <v>0</v>
      </c>
      <c r="M123" s="76">
        <f>SUMIFS(Ledger[Amount],Ledger[Cost line],$B123,Ledger[Period],M$5)*M$8</f>
        <v>0</v>
      </c>
      <c r="N123" s="76">
        <f>SUMIFS(Ledger[Amount],Ledger[Cost line],$B123,Ledger[Period],N$5)*N$8</f>
        <v>0</v>
      </c>
      <c r="O123" s="76">
        <f>SUMIFS(Ledger[Amount],Ledger[Cost line],$B123,Ledger[Period],O$5)*O$8</f>
        <v>0</v>
      </c>
      <c r="P123" s="76">
        <f>SUMIFS(Ledger[Amount],Ledger[Cost line],$B123,Ledger[Period],P$5)*P$8</f>
        <v>0</v>
      </c>
      <c r="Q123" s="76">
        <f>SUMIFS(Ledger[Amount],Ledger[Cost line],$B123,Ledger[Period],Q$5)*Q$8</f>
        <v>0</v>
      </c>
      <c r="R123" s="76">
        <f>SUMIFS(Ledger[Amount],Ledger[Cost line],$B123,Ledger[Period],R$5)*R$8</f>
        <v>0</v>
      </c>
      <c r="S123" s="76">
        <f>SUMIFS(Ledger[Amount],Ledger[Cost line],$B123,Ledger[Period],S$5)*S$8</f>
        <v>0</v>
      </c>
      <c r="T123" s="76">
        <f>SUMIFS(Ledger[Amount],Ledger[Cost line],$B123,Ledger[Period],T$5)*T$8</f>
        <v>0</v>
      </c>
    </row>
    <row r="124">
      <c r="B124" s="119" t="str">
        <f>Inputs!$B$43</f>
        <v>iOS development</v>
      </c>
      <c r="C124" s="123" t="str">
        <f>Inputs!$C$43</f>
        <v>Team</v>
      </c>
      <c r="D124" s="69">
        <f>SUM(F124:T124)</f>
        <v>97500</v>
      </c>
      <c r="E124" s="6" t="n"/>
      <c r="F124" s="76">
        <f>SUMIFS(Ledger[Amount],Ledger[Cost line],$B124,Ledger[Period],F$5)*F$8</f>
        <v>0</v>
      </c>
      <c r="G124" s="76">
        <f>SUMIFS(Ledger[Amount],Ledger[Cost line],$B124,Ledger[Period],G$5)*G$8</f>
        <v>6240</v>
      </c>
      <c r="H124" s="76">
        <f>SUMIFS(Ledger[Amount],Ledger[Cost line],$B124,Ledger[Period],H$5)*H$8</f>
        <v>7020</v>
      </c>
      <c r="I124" s="76">
        <f>SUMIFS(Ledger[Amount],Ledger[Cost line],$B124,Ledger[Period],I$5)*I$8</f>
        <v>27300</v>
      </c>
      <c r="J124" s="76">
        <f>SUMIFS(Ledger[Amount],Ledger[Cost line],$B124,Ledger[Period],J$5)*J$8</f>
        <v>28080</v>
      </c>
      <c r="K124" s="76">
        <f>SUMIFS(Ledger[Amount],Ledger[Cost line],$B124,Ledger[Period],K$5)*K$8</f>
        <v>28860</v>
      </c>
      <c r="L124" s="76">
        <f>SUMIFS(Ledger[Amount],Ledger[Cost line],$B124,Ledger[Period],L$5)*L$8</f>
        <v>0</v>
      </c>
      <c r="M124" s="76">
        <f>SUMIFS(Ledger[Amount],Ledger[Cost line],$B124,Ledger[Period],M$5)*M$8</f>
        <v>0</v>
      </c>
      <c r="N124" s="76">
        <f>SUMIFS(Ledger[Amount],Ledger[Cost line],$B124,Ledger[Period],N$5)*N$8</f>
        <v>0</v>
      </c>
      <c r="O124" s="76">
        <f>SUMIFS(Ledger[Amount],Ledger[Cost line],$B124,Ledger[Period],O$5)*O$8</f>
        <v>0</v>
      </c>
      <c r="P124" s="76">
        <f>SUMIFS(Ledger[Amount],Ledger[Cost line],$B124,Ledger[Period],P$5)*P$8</f>
        <v>0</v>
      </c>
      <c r="Q124" s="76">
        <f>SUMIFS(Ledger[Amount],Ledger[Cost line],$B124,Ledger[Period],Q$5)*Q$8</f>
        <v>0</v>
      </c>
      <c r="R124" s="76">
        <f>SUMIFS(Ledger[Amount],Ledger[Cost line],$B124,Ledger[Period],R$5)*R$8</f>
        <v>0</v>
      </c>
      <c r="S124" s="76">
        <f>SUMIFS(Ledger[Amount],Ledger[Cost line],$B124,Ledger[Period],S$5)*S$8</f>
        <v>0</v>
      </c>
      <c r="T124" s="76">
        <f>SUMIFS(Ledger[Amount],Ledger[Cost line],$B124,Ledger[Period],T$5)*T$8</f>
        <v>0</v>
      </c>
    </row>
    <row r="125">
      <c r="B125" s="119" t="str">
        <f>Inputs!$B$44</f>
        <v>Android development</v>
      </c>
      <c r="C125" s="123" t="str">
        <f>Inputs!$C$44</f>
        <v>Team</v>
      </c>
      <c r="D125" s="69">
        <f>SUM(F125:T125)</f>
        <v>109440</v>
      </c>
      <c r="E125" s="6" t="n"/>
      <c r="F125" s="76">
        <f>SUMIFS(Ledger[Amount],Ledger[Cost line],$B125,Ledger[Period],F$5)*F$8</f>
        <v>0</v>
      </c>
      <c r="G125" s="76">
        <f>SUMIFS(Ledger[Amount],Ledger[Cost line],$B125,Ledger[Period],G$5)*G$8</f>
        <v>6840</v>
      </c>
      <c r="H125" s="76">
        <f>SUMIFS(Ledger[Amount],Ledger[Cost line],$B125,Ledger[Period],H$5)*H$8</f>
        <v>6840</v>
      </c>
      <c r="I125" s="76">
        <f>SUMIFS(Ledger[Amount],Ledger[Cost line],$B125,Ledger[Period],I$5)*I$8</f>
        <v>27360</v>
      </c>
      <c r="J125" s="76">
        <f>SUMIFS(Ledger[Amount],Ledger[Cost line],$B125,Ledger[Period],J$5)*J$8</f>
        <v>34200</v>
      </c>
      <c r="K125" s="76">
        <f>SUMIFS(Ledger[Amount],Ledger[Cost line],$B125,Ledger[Period],K$5)*K$8</f>
        <v>34200</v>
      </c>
      <c r="L125" s="76">
        <f>SUMIFS(Ledger[Amount],Ledger[Cost line],$B125,Ledger[Period],L$5)*L$8</f>
        <v>0</v>
      </c>
      <c r="M125" s="76">
        <f>SUMIFS(Ledger[Amount],Ledger[Cost line],$B125,Ledger[Period],M$5)*M$8</f>
        <v>0</v>
      </c>
      <c r="N125" s="76">
        <f>SUMIFS(Ledger[Amount],Ledger[Cost line],$B125,Ledger[Period],N$5)*N$8</f>
        <v>0</v>
      </c>
      <c r="O125" s="76">
        <f>SUMIFS(Ledger[Amount],Ledger[Cost line],$B125,Ledger[Period],O$5)*O$8</f>
        <v>0</v>
      </c>
      <c r="P125" s="76">
        <f>SUMIFS(Ledger[Amount],Ledger[Cost line],$B125,Ledger[Period],P$5)*P$8</f>
        <v>0</v>
      </c>
      <c r="Q125" s="76">
        <f>SUMIFS(Ledger[Amount],Ledger[Cost line],$B125,Ledger[Period],Q$5)*Q$8</f>
        <v>0</v>
      </c>
      <c r="R125" s="76">
        <f>SUMIFS(Ledger[Amount],Ledger[Cost line],$B125,Ledger[Period],R$5)*R$8</f>
        <v>0</v>
      </c>
      <c r="S125" s="76">
        <f>SUMIFS(Ledger[Amount],Ledger[Cost line],$B125,Ledger[Period],S$5)*S$8</f>
        <v>0</v>
      </c>
      <c r="T125" s="76">
        <f>SUMIFS(Ledger[Amount],Ledger[Cost line],$B125,Ledger[Period],T$5)*T$8</f>
        <v>0</v>
      </c>
    </row>
    <row r="126">
      <c r="B126" s="119" t="str">
        <f>Inputs!$B$45</f>
        <v>Backend &amp; integrations</v>
      </c>
      <c r="C126" s="123" t="str">
        <f>Inputs!$C$45</f>
        <v>Team</v>
      </c>
      <c r="D126" s="69">
        <f>SUM(F126:T126)</f>
        <v>161000</v>
      </c>
      <c r="E126" s="6" t="n"/>
      <c r="F126" s="76">
        <f>SUMIFS(Ledger[Amount],Ledger[Cost line],$B126,Ledger[Period],F$5)*F$8</f>
        <v>7000</v>
      </c>
      <c r="G126" s="76">
        <f>SUMIFS(Ledger[Amount],Ledger[Cost line],$B126,Ledger[Period],G$5)*G$8</f>
        <v>14000</v>
      </c>
      <c r="H126" s="76">
        <f>SUMIFS(Ledger[Amount],Ledger[Cost line],$B126,Ledger[Period],H$5)*H$8</f>
        <v>14000</v>
      </c>
      <c r="I126" s="76">
        <f>SUMIFS(Ledger[Amount],Ledger[Cost line],$B126,Ledger[Period],I$5)*I$8</f>
        <v>42000</v>
      </c>
      <c r="J126" s="76">
        <f>SUMIFS(Ledger[Amount],Ledger[Cost line],$B126,Ledger[Period],J$5)*J$8</f>
        <v>42000</v>
      </c>
      <c r="K126" s="76">
        <f>SUMIFS(Ledger[Amount],Ledger[Cost line],$B126,Ledger[Period],K$5)*K$8</f>
        <v>42000</v>
      </c>
      <c r="L126" s="76">
        <f>SUMIFS(Ledger[Amount],Ledger[Cost line],$B126,Ledger[Period],L$5)*L$8</f>
        <v>0</v>
      </c>
      <c r="M126" s="76">
        <f>SUMIFS(Ledger[Amount],Ledger[Cost line],$B126,Ledger[Period],M$5)*M$8</f>
        <v>0</v>
      </c>
      <c r="N126" s="76">
        <f>SUMIFS(Ledger[Amount],Ledger[Cost line],$B126,Ledger[Period],N$5)*N$8</f>
        <v>0</v>
      </c>
      <c r="O126" s="76">
        <f>SUMIFS(Ledger[Amount],Ledger[Cost line],$B126,Ledger[Period],O$5)*O$8</f>
        <v>0</v>
      </c>
      <c r="P126" s="76">
        <f>SUMIFS(Ledger[Amount],Ledger[Cost line],$B126,Ledger[Period],P$5)*P$8</f>
        <v>0</v>
      </c>
      <c r="Q126" s="76">
        <f>SUMIFS(Ledger[Amount],Ledger[Cost line],$B126,Ledger[Period],Q$5)*Q$8</f>
        <v>0</v>
      </c>
      <c r="R126" s="76">
        <f>SUMIFS(Ledger[Amount],Ledger[Cost line],$B126,Ledger[Period],R$5)*R$8</f>
        <v>0</v>
      </c>
      <c r="S126" s="76">
        <f>SUMIFS(Ledger[Amount],Ledger[Cost line],$B126,Ledger[Period],S$5)*S$8</f>
        <v>0</v>
      </c>
      <c r="T126" s="76">
        <f>SUMIFS(Ledger[Amount],Ledger[Cost line],$B126,Ledger[Period],T$5)*T$8</f>
        <v>0</v>
      </c>
    </row>
    <row r="127">
      <c r="B127" s="119" t="str">
        <f>Inputs!$B$46</f>
        <v>Quality assurance</v>
      </c>
      <c r="C127" s="123" t="str">
        <f>Inputs!$C$46</f>
        <v>Team</v>
      </c>
      <c r="D127" s="69">
        <f>SUM(F127:T127)</f>
        <v>52080</v>
      </c>
      <c r="E127" s="6" t="n"/>
      <c r="F127" s="76">
        <f>SUMIFS(Ledger[Amount],Ledger[Cost line],$B127,Ledger[Period],F$5)*F$8</f>
        <v>0</v>
      </c>
      <c r="G127" s="76">
        <f>SUMIFS(Ledger[Amount],Ledger[Cost line],$B127,Ledger[Period],G$5)*G$8</f>
        <v>0</v>
      </c>
      <c r="H127" s="76">
        <f>SUMIFS(Ledger[Amount],Ledger[Cost line],$B127,Ledger[Period],H$5)*H$8</f>
        <v>0</v>
      </c>
      <c r="I127" s="76">
        <f>SUMIFS(Ledger[Amount],Ledger[Cost line],$B127,Ledger[Period],I$5)*I$8</f>
        <v>15120</v>
      </c>
      <c r="J127" s="76">
        <f>SUMIFS(Ledger[Amount],Ledger[Cost line],$B127,Ledger[Period],J$5)*J$8</f>
        <v>16800</v>
      </c>
      <c r="K127" s="76">
        <f>SUMIFS(Ledger[Amount],Ledger[Cost line],$B127,Ledger[Period],K$5)*K$8</f>
        <v>20160</v>
      </c>
      <c r="L127" s="76">
        <f>SUMIFS(Ledger[Amount],Ledger[Cost line],$B127,Ledger[Period],L$5)*L$8</f>
        <v>0</v>
      </c>
      <c r="M127" s="76">
        <f>SUMIFS(Ledger[Amount],Ledger[Cost line],$B127,Ledger[Period],M$5)*M$8</f>
        <v>0</v>
      </c>
      <c r="N127" s="76">
        <f>SUMIFS(Ledger[Amount],Ledger[Cost line],$B127,Ledger[Period],N$5)*N$8</f>
        <v>0</v>
      </c>
      <c r="O127" s="76">
        <f>SUMIFS(Ledger[Amount],Ledger[Cost line],$B127,Ledger[Period],O$5)*O$8</f>
        <v>0</v>
      </c>
      <c r="P127" s="76">
        <f>SUMIFS(Ledger[Amount],Ledger[Cost line],$B127,Ledger[Period],P$5)*P$8</f>
        <v>0</v>
      </c>
      <c r="Q127" s="76">
        <f>SUMIFS(Ledger[Amount],Ledger[Cost line],$B127,Ledger[Period],Q$5)*Q$8</f>
        <v>0</v>
      </c>
      <c r="R127" s="76">
        <f>SUMIFS(Ledger[Amount],Ledger[Cost line],$B127,Ledger[Period],R$5)*R$8</f>
        <v>0</v>
      </c>
      <c r="S127" s="76">
        <f>SUMIFS(Ledger[Amount],Ledger[Cost line],$B127,Ledger[Period],S$5)*S$8</f>
        <v>0</v>
      </c>
      <c r="T127" s="76">
        <f>SUMIFS(Ledger[Amount],Ledger[Cost line],$B127,Ledger[Period],T$5)*T$8</f>
        <v>0</v>
      </c>
    </row>
    <row r="128">
      <c r="B128" s="119" t="str">
        <f>Inputs!$B$47</f>
        <v>Cloud &amp; DevOps</v>
      </c>
      <c r="C128" s="123" t="str">
        <f>Inputs!$C$47</f>
        <v>Team</v>
      </c>
      <c r="D128" s="69">
        <f>SUM(F128:T128)</f>
        <v>36250</v>
      </c>
      <c r="E128" s="6" t="n"/>
      <c r="F128" s="76">
        <f>SUMIFS(Ledger[Amount],Ledger[Cost line],$B128,Ledger[Period],F$5)*F$8</f>
        <v>3625</v>
      </c>
      <c r="G128" s="76">
        <f>SUMIFS(Ledger[Amount],Ledger[Cost line],$B128,Ledger[Period],G$5)*G$8</f>
        <v>3625</v>
      </c>
      <c r="H128" s="76">
        <f>SUMIFS(Ledger[Amount],Ledger[Cost line],$B128,Ledger[Period],H$5)*H$8</f>
        <v>3625</v>
      </c>
      <c r="I128" s="76">
        <f>SUMIFS(Ledger[Amount],Ledger[Cost line],$B128,Ledger[Period],I$5)*I$8</f>
        <v>7250</v>
      </c>
      <c r="J128" s="76">
        <f>SUMIFS(Ledger[Amount],Ledger[Cost line],$B128,Ledger[Period],J$5)*J$8</f>
        <v>7250</v>
      </c>
      <c r="K128" s="76">
        <f>SUMIFS(Ledger[Amount],Ledger[Cost line],$B128,Ledger[Period],K$5)*K$8</f>
        <v>10875</v>
      </c>
      <c r="L128" s="76">
        <f>SUMIFS(Ledger[Amount],Ledger[Cost line],$B128,Ledger[Period],L$5)*L$8</f>
        <v>0</v>
      </c>
      <c r="M128" s="76">
        <f>SUMIFS(Ledger[Amount],Ledger[Cost line],$B128,Ledger[Period],M$5)*M$8</f>
        <v>0</v>
      </c>
      <c r="N128" s="76">
        <f>SUMIFS(Ledger[Amount],Ledger[Cost line],$B128,Ledger[Period],N$5)*N$8</f>
        <v>0</v>
      </c>
      <c r="O128" s="76">
        <f>SUMIFS(Ledger[Amount],Ledger[Cost line],$B128,Ledger[Period],O$5)*O$8</f>
        <v>0</v>
      </c>
      <c r="P128" s="76">
        <f>SUMIFS(Ledger[Amount],Ledger[Cost line],$B128,Ledger[Period],P$5)*P$8</f>
        <v>0</v>
      </c>
      <c r="Q128" s="76">
        <f>SUMIFS(Ledger[Amount],Ledger[Cost line],$B128,Ledger[Period],Q$5)*Q$8</f>
        <v>0</v>
      </c>
      <c r="R128" s="76">
        <f>SUMIFS(Ledger[Amount],Ledger[Cost line],$B128,Ledger[Period],R$5)*R$8</f>
        <v>0</v>
      </c>
      <c r="S128" s="76">
        <f>SUMIFS(Ledger[Amount],Ledger[Cost line],$B128,Ledger[Period],S$5)*S$8</f>
        <v>0</v>
      </c>
      <c r="T128" s="76">
        <f>SUMIFS(Ledger[Amount],Ledger[Cost line],$B128,Ledger[Period],T$5)*T$8</f>
        <v>0</v>
      </c>
    </row>
    <row r="129">
      <c r="B129" s="119" t="str">
        <f>Inputs!$B$48</f>
        <v>Engineering lead</v>
      </c>
      <c r="C129" s="123" t="str">
        <f>Inputs!$C$48</f>
        <v>Team</v>
      </c>
      <c r="D129" s="69">
        <f>SUM(F129:T129)</f>
        <v>90750</v>
      </c>
      <c r="E129" s="6" t="n"/>
      <c r="F129" s="76">
        <f>SUMIFS(Ledger[Amount],Ledger[Cost line],$B129,Ledger[Period],F$5)*F$8</f>
        <v>8250</v>
      </c>
      <c r="G129" s="76">
        <f>SUMIFS(Ledger[Amount],Ledger[Cost line],$B129,Ledger[Period],G$5)*G$8</f>
        <v>16500</v>
      </c>
      <c r="H129" s="76">
        <f>SUMIFS(Ledger[Amount],Ledger[Cost line],$B129,Ledger[Period],H$5)*H$8</f>
        <v>16500</v>
      </c>
      <c r="I129" s="76">
        <f>SUMIFS(Ledger[Amount],Ledger[Cost line],$B129,Ledger[Period],I$5)*I$8</f>
        <v>16500</v>
      </c>
      <c r="J129" s="76">
        <f>SUMIFS(Ledger[Amount],Ledger[Cost line],$B129,Ledger[Period],J$5)*J$8</f>
        <v>16500</v>
      </c>
      <c r="K129" s="76">
        <f>SUMIFS(Ledger[Amount],Ledger[Cost line],$B129,Ledger[Period],K$5)*K$8</f>
        <v>16500</v>
      </c>
      <c r="L129" s="76">
        <f>SUMIFS(Ledger[Amount],Ledger[Cost line],$B129,Ledger[Period],L$5)*L$8</f>
        <v>0</v>
      </c>
      <c r="M129" s="76">
        <f>SUMIFS(Ledger[Amount],Ledger[Cost line],$B129,Ledger[Period],M$5)*M$8</f>
        <v>0</v>
      </c>
      <c r="N129" s="76">
        <f>SUMIFS(Ledger[Amount],Ledger[Cost line],$B129,Ledger[Period],N$5)*N$8</f>
        <v>0</v>
      </c>
      <c r="O129" s="76">
        <f>SUMIFS(Ledger[Amount],Ledger[Cost line],$B129,Ledger[Period],O$5)*O$8</f>
        <v>0</v>
      </c>
      <c r="P129" s="76">
        <f>SUMIFS(Ledger[Amount],Ledger[Cost line],$B129,Ledger[Period],P$5)*P$8</f>
        <v>0</v>
      </c>
      <c r="Q129" s="76">
        <f>SUMIFS(Ledger[Amount],Ledger[Cost line],$B129,Ledger[Period],Q$5)*Q$8</f>
        <v>0</v>
      </c>
      <c r="R129" s="76">
        <f>SUMIFS(Ledger[Amount],Ledger[Cost line],$B129,Ledger[Period],R$5)*R$8</f>
        <v>0</v>
      </c>
      <c r="S129" s="76">
        <f>SUMIFS(Ledger[Amount],Ledger[Cost line],$B129,Ledger[Period],S$5)*S$8</f>
        <v>0</v>
      </c>
      <c r="T129" s="76">
        <f>SUMIFS(Ledger[Amount],Ledger[Cost line],$B129,Ledger[Period],T$5)*T$8</f>
        <v>0</v>
      </c>
    </row>
    <row r="130">
      <c r="B130" s="119" t="str">
        <f>Inputs!$B$49</f>
        <v>User research &amp; testing</v>
      </c>
      <c r="C130" s="123" t="str">
        <f>Inputs!$C$49</f>
        <v>Purchases</v>
      </c>
      <c r="D130" s="69">
        <f>SUM(F130:T130)</f>
        <v>24000</v>
      </c>
      <c r="E130" s="6" t="n"/>
      <c r="F130" s="76">
        <f>SUMIFS(Ledger[Amount],Ledger[Cost line],$B130,Ledger[Period],F$5)*F$8</f>
        <v>0</v>
      </c>
      <c r="G130" s="76">
        <f>SUMIFS(Ledger[Amount],Ledger[Cost line],$B130,Ledger[Period],G$5)*G$8</f>
        <v>24000</v>
      </c>
      <c r="H130" s="76">
        <f>SUMIFS(Ledger[Amount],Ledger[Cost line],$B130,Ledger[Period],H$5)*H$8</f>
        <v>0</v>
      </c>
      <c r="I130" s="76">
        <f>SUMIFS(Ledger[Amount],Ledger[Cost line],$B130,Ledger[Period],I$5)*I$8</f>
        <v>0</v>
      </c>
      <c r="J130" s="76">
        <f>SUMIFS(Ledger[Amount],Ledger[Cost line],$B130,Ledger[Period],J$5)*J$8</f>
        <v>0</v>
      </c>
      <c r="K130" s="76">
        <f>SUMIFS(Ledger[Amount],Ledger[Cost line],$B130,Ledger[Period],K$5)*K$8</f>
        <v>0</v>
      </c>
      <c r="L130" s="76">
        <f>SUMIFS(Ledger[Amount],Ledger[Cost line],$B130,Ledger[Period],L$5)*L$8</f>
        <v>0</v>
      </c>
      <c r="M130" s="76">
        <f>SUMIFS(Ledger[Amount],Ledger[Cost line],$B130,Ledger[Period],M$5)*M$8</f>
        <v>0</v>
      </c>
      <c r="N130" s="76">
        <f>SUMIFS(Ledger[Amount],Ledger[Cost line],$B130,Ledger[Period],N$5)*N$8</f>
        <v>0</v>
      </c>
      <c r="O130" s="76">
        <f>SUMIFS(Ledger[Amount],Ledger[Cost line],$B130,Ledger[Period],O$5)*O$8</f>
        <v>0</v>
      </c>
      <c r="P130" s="76">
        <f>SUMIFS(Ledger[Amount],Ledger[Cost line],$B130,Ledger[Period],P$5)*P$8</f>
        <v>0</v>
      </c>
      <c r="Q130" s="76">
        <f>SUMIFS(Ledger[Amount],Ledger[Cost line],$B130,Ledger[Period],Q$5)*Q$8</f>
        <v>0</v>
      </c>
      <c r="R130" s="76">
        <f>SUMIFS(Ledger[Amount],Ledger[Cost line],$B130,Ledger[Period],R$5)*R$8</f>
        <v>0</v>
      </c>
      <c r="S130" s="76">
        <f>SUMIFS(Ledger[Amount],Ledger[Cost line],$B130,Ledger[Period],S$5)*S$8</f>
        <v>0</v>
      </c>
      <c r="T130" s="76">
        <f>SUMIFS(Ledger[Amount],Ledger[Cost line],$B130,Ledger[Period],T$5)*T$8</f>
        <v>0</v>
      </c>
    </row>
    <row r="131">
      <c r="B131" s="119" t="str">
        <f>Inputs!$B$50</f>
        <v>Security &amp; accessibility</v>
      </c>
      <c r="C131" s="123" t="str">
        <f>Inputs!$C$50</f>
        <v>Purchases</v>
      </c>
      <c r="D131" s="69">
        <f>SUM(F131:T131)</f>
        <v>0</v>
      </c>
      <c r="E131" s="6" t="n"/>
      <c r="F131" s="76">
        <f>SUMIFS(Ledger[Amount],Ledger[Cost line],$B131,Ledger[Period],F$5)*F$8</f>
        <v>0</v>
      </c>
      <c r="G131" s="76">
        <f>SUMIFS(Ledger[Amount],Ledger[Cost line],$B131,Ledger[Period],G$5)*G$8</f>
        <v>0</v>
      </c>
      <c r="H131" s="76">
        <f>SUMIFS(Ledger[Amount],Ledger[Cost line],$B131,Ledger[Period],H$5)*H$8</f>
        <v>0</v>
      </c>
      <c r="I131" s="76">
        <f>SUMIFS(Ledger[Amount],Ledger[Cost line],$B131,Ledger[Period],I$5)*I$8</f>
        <v>0</v>
      </c>
      <c r="J131" s="76">
        <f>SUMIFS(Ledger[Amount],Ledger[Cost line],$B131,Ledger[Period],J$5)*J$8</f>
        <v>0</v>
      </c>
      <c r="K131" s="76">
        <f>SUMIFS(Ledger[Amount],Ledger[Cost line],$B131,Ledger[Period],K$5)*K$8</f>
        <v>0</v>
      </c>
      <c r="L131" s="76">
        <f>SUMIFS(Ledger[Amount],Ledger[Cost line],$B131,Ledger[Period],L$5)*L$8</f>
        <v>0</v>
      </c>
      <c r="M131" s="76">
        <f>SUMIFS(Ledger[Amount],Ledger[Cost line],$B131,Ledger[Period],M$5)*M$8</f>
        <v>0</v>
      </c>
      <c r="N131" s="76">
        <f>SUMIFS(Ledger[Amount],Ledger[Cost line],$B131,Ledger[Period],N$5)*N$8</f>
        <v>0</v>
      </c>
      <c r="O131" s="76">
        <f>SUMIFS(Ledger[Amount],Ledger[Cost line],$B131,Ledger[Period],O$5)*O$8</f>
        <v>0</v>
      </c>
      <c r="P131" s="76">
        <f>SUMIFS(Ledger[Amount],Ledger[Cost line],$B131,Ledger[Period],P$5)*P$8</f>
        <v>0</v>
      </c>
      <c r="Q131" s="76">
        <f>SUMIFS(Ledger[Amount],Ledger[Cost line],$B131,Ledger[Period],Q$5)*Q$8</f>
        <v>0</v>
      </c>
      <c r="R131" s="76">
        <f>SUMIFS(Ledger[Amount],Ledger[Cost line],$B131,Ledger[Period],R$5)*R$8</f>
        <v>0</v>
      </c>
      <c r="S131" s="76">
        <f>SUMIFS(Ledger[Amount],Ledger[Cost line],$B131,Ledger[Period],S$5)*S$8</f>
        <v>0</v>
      </c>
      <c r="T131" s="76">
        <f>SUMIFS(Ledger[Amount],Ledger[Cost line],$B131,Ledger[Period],T$5)*T$8</f>
        <v>0</v>
      </c>
    </row>
    <row r="132">
      <c r="B132" s="119" t="str">
        <f>Inputs!$B$51</f>
        <v>Payment certification</v>
      </c>
      <c r="C132" s="123" t="str">
        <f>Inputs!$C$51</f>
        <v>Purchases</v>
      </c>
      <c r="D132" s="69">
        <f>SUM(F132:T132)</f>
        <v>11200</v>
      </c>
      <c r="E132" s="6" t="n"/>
      <c r="F132" s="76">
        <f>SUMIFS(Ledger[Amount],Ledger[Cost line],$B132,Ledger[Period],F$5)*F$8</f>
        <v>0</v>
      </c>
      <c r="G132" s="76">
        <f>SUMIFS(Ledger[Amount],Ledger[Cost line],$B132,Ledger[Period],G$5)*G$8</f>
        <v>0</v>
      </c>
      <c r="H132" s="76">
        <f>SUMIFS(Ledger[Amount],Ledger[Cost line],$B132,Ledger[Period],H$5)*H$8</f>
        <v>0</v>
      </c>
      <c r="I132" s="76">
        <f>SUMIFS(Ledger[Amount],Ledger[Cost line],$B132,Ledger[Period],I$5)*I$8</f>
        <v>0</v>
      </c>
      <c r="J132" s="76">
        <f>SUMIFS(Ledger[Amount],Ledger[Cost line],$B132,Ledger[Period],J$5)*J$8</f>
        <v>0</v>
      </c>
      <c r="K132" s="76">
        <f>SUMIFS(Ledger[Amount],Ledger[Cost line],$B132,Ledger[Period],K$5)*K$8</f>
        <v>11200</v>
      </c>
      <c r="L132" s="76">
        <f>SUMIFS(Ledger[Amount],Ledger[Cost line],$B132,Ledger[Period],L$5)*L$8</f>
        <v>0</v>
      </c>
      <c r="M132" s="76">
        <f>SUMIFS(Ledger[Amount],Ledger[Cost line],$B132,Ledger[Period],M$5)*M$8</f>
        <v>0</v>
      </c>
      <c r="N132" s="76">
        <f>SUMIFS(Ledger[Amount],Ledger[Cost line],$B132,Ledger[Period],N$5)*N$8</f>
        <v>0</v>
      </c>
      <c r="O132" s="76">
        <f>SUMIFS(Ledger[Amount],Ledger[Cost line],$B132,Ledger[Period],O$5)*O$8</f>
        <v>0</v>
      </c>
      <c r="P132" s="76">
        <f>SUMIFS(Ledger[Amount],Ledger[Cost line],$B132,Ledger[Period],P$5)*P$8</f>
        <v>0</v>
      </c>
      <c r="Q132" s="76">
        <f>SUMIFS(Ledger[Amount],Ledger[Cost line],$B132,Ledger[Period],Q$5)*Q$8</f>
        <v>0</v>
      </c>
      <c r="R132" s="76">
        <f>SUMIFS(Ledger[Amount],Ledger[Cost line],$B132,Ledger[Period],R$5)*R$8</f>
        <v>0</v>
      </c>
      <c r="S132" s="76">
        <f>SUMIFS(Ledger[Amount],Ledger[Cost line],$B132,Ledger[Period],S$5)*S$8</f>
        <v>0</v>
      </c>
      <c r="T132" s="76">
        <f>SUMIFS(Ledger[Amount],Ledger[Cost line],$B132,Ledger[Period],T$5)*T$8</f>
        <v>0</v>
      </c>
    </row>
    <row r="133">
      <c r="B133" s="119" t="str">
        <f>Inputs!$B$52</f>
        <v>Test devices</v>
      </c>
      <c r="C133" s="123" t="str">
        <f>Inputs!$C$52</f>
        <v>Purchases</v>
      </c>
      <c r="D133" s="69">
        <f>SUM(F133:T133)</f>
        <v>17240</v>
      </c>
      <c r="E133" s="6" t="n"/>
      <c r="F133" s="76">
        <f>SUMIFS(Ledger[Amount],Ledger[Cost line],$B133,Ledger[Period],F$5)*F$8</f>
        <v>0</v>
      </c>
      <c r="G133" s="76">
        <f>SUMIFS(Ledger[Amount],Ledger[Cost line],$B133,Ledger[Period],G$5)*G$8</f>
        <v>0</v>
      </c>
      <c r="H133" s="76">
        <f>SUMIFS(Ledger[Amount],Ledger[Cost line],$B133,Ledger[Period],H$5)*H$8</f>
        <v>0</v>
      </c>
      <c r="I133" s="76">
        <f>SUMIFS(Ledger[Amount],Ledger[Cost line],$B133,Ledger[Period],I$5)*I$8</f>
        <v>17240</v>
      </c>
      <c r="J133" s="76">
        <f>SUMIFS(Ledger[Amount],Ledger[Cost line],$B133,Ledger[Period],J$5)*J$8</f>
        <v>0</v>
      </c>
      <c r="K133" s="76">
        <f>SUMIFS(Ledger[Amount],Ledger[Cost line],$B133,Ledger[Period],K$5)*K$8</f>
        <v>0</v>
      </c>
      <c r="L133" s="76">
        <f>SUMIFS(Ledger[Amount],Ledger[Cost line],$B133,Ledger[Period],L$5)*L$8</f>
        <v>0</v>
      </c>
      <c r="M133" s="76">
        <f>SUMIFS(Ledger[Amount],Ledger[Cost line],$B133,Ledger[Period],M$5)*M$8</f>
        <v>0</v>
      </c>
      <c r="N133" s="76">
        <f>SUMIFS(Ledger[Amount],Ledger[Cost line],$B133,Ledger[Period],N$5)*N$8</f>
        <v>0</v>
      </c>
      <c r="O133" s="76">
        <f>SUMIFS(Ledger[Amount],Ledger[Cost line],$B133,Ledger[Period],O$5)*O$8</f>
        <v>0</v>
      </c>
      <c r="P133" s="76">
        <f>SUMIFS(Ledger[Amount],Ledger[Cost line],$B133,Ledger[Period],P$5)*P$8</f>
        <v>0</v>
      </c>
      <c r="Q133" s="76">
        <f>SUMIFS(Ledger[Amount],Ledger[Cost line],$B133,Ledger[Period],Q$5)*Q$8</f>
        <v>0</v>
      </c>
      <c r="R133" s="76">
        <f>SUMIFS(Ledger[Amount],Ledger[Cost line],$B133,Ledger[Period],R$5)*R$8</f>
        <v>0</v>
      </c>
      <c r="S133" s="76">
        <f>SUMIFS(Ledger[Amount],Ledger[Cost line],$B133,Ledger[Period],S$5)*S$8</f>
        <v>0</v>
      </c>
      <c r="T133" s="76">
        <f>SUMIFS(Ledger[Amount],Ledger[Cost line],$B133,Ledger[Period],T$5)*T$8</f>
        <v>0</v>
      </c>
    </row>
    <row r="134">
      <c r="B134" s="119" t="str">
        <f>Inputs!$B$53</f>
        <v>Launch content</v>
      </c>
      <c r="C134" s="123" t="str">
        <f>Inputs!$C$53</f>
        <v>Purchases</v>
      </c>
      <c r="D134" s="69">
        <f>SUM(F134:T134)</f>
        <v>0</v>
      </c>
      <c r="E134" s="6" t="n"/>
      <c r="F134" s="76">
        <f>SUMIFS(Ledger[Amount],Ledger[Cost line],$B134,Ledger[Period],F$5)*F$8</f>
        <v>0</v>
      </c>
      <c r="G134" s="76">
        <f>SUMIFS(Ledger[Amount],Ledger[Cost line],$B134,Ledger[Period],G$5)*G$8</f>
        <v>0</v>
      </c>
      <c r="H134" s="76">
        <f>SUMIFS(Ledger[Amount],Ledger[Cost line],$B134,Ledger[Period],H$5)*H$8</f>
        <v>0</v>
      </c>
      <c r="I134" s="76">
        <f>SUMIFS(Ledger[Amount],Ledger[Cost line],$B134,Ledger[Period],I$5)*I$8</f>
        <v>0</v>
      </c>
      <c r="J134" s="76">
        <f>SUMIFS(Ledger[Amount],Ledger[Cost line],$B134,Ledger[Period],J$5)*J$8</f>
        <v>0</v>
      </c>
      <c r="K134" s="76">
        <f>SUMIFS(Ledger[Amount],Ledger[Cost line],$B134,Ledger[Period],K$5)*K$8</f>
        <v>0</v>
      </c>
      <c r="L134" s="76">
        <f>SUMIFS(Ledger[Amount],Ledger[Cost line],$B134,Ledger[Period],L$5)*L$8</f>
        <v>0</v>
      </c>
      <c r="M134" s="76">
        <f>SUMIFS(Ledger[Amount],Ledger[Cost line],$B134,Ledger[Period],M$5)*M$8</f>
        <v>0</v>
      </c>
      <c r="N134" s="76">
        <f>SUMIFS(Ledger[Amount],Ledger[Cost line],$B134,Ledger[Period],N$5)*N$8</f>
        <v>0</v>
      </c>
      <c r="O134" s="76">
        <f>SUMIFS(Ledger[Amount],Ledger[Cost line],$B134,Ledger[Period],O$5)*O$8</f>
        <v>0</v>
      </c>
      <c r="P134" s="76">
        <f>SUMIFS(Ledger[Amount],Ledger[Cost line],$B134,Ledger[Period],P$5)*P$8</f>
        <v>0</v>
      </c>
      <c r="Q134" s="76">
        <f>SUMIFS(Ledger[Amount],Ledger[Cost line],$B134,Ledger[Period],Q$5)*Q$8</f>
        <v>0</v>
      </c>
      <c r="R134" s="76">
        <f>SUMIFS(Ledger[Amount],Ledger[Cost line],$B134,Ledger[Period],R$5)*R$8</f>
        <v>0</v>
      </c>
      <c r="S134" s="76">
        <f>SUMIFS(Ledger[Amount],Ledger[Cost line],$B134,Ledger[Period],S$5)*S$8</f>
        <v>0</v>
      </c>
      <c r="T134" s="76">
        <f>SUMIFS(Ledger[Amount],Ledger[Cost line],$B134,Ledger[Period],T$5)*T$8</f>
        <v>0</v>
      </c>
    </row>
    <row r="135">
      <c r="B135" s="119" t="str">
        <f>Inputs!$B$54</f>
        <v>Cloud hosting</v>
      </c>
      <c r="C135" s="123" t="str">
        <f>Inputs!$C$54</f>
        <v>Platform</v>
      </c>
      <c r="D135" s="69">
        <f>SUM(F135:T135)</f>
        <v>25700</v>
      </c>
      <c r="E135" s="6" t="n"/>
      <c r="F135" s="76">
        <f>SUMIFS(Ledger[Amount],Ledger[Cost line],$B135,Ledger[Period],F$5)*F$8</f>
        <v>380</v>
      </c>
      <c r="G135" s="76">
        <f>SUMIFS(Ledger[Amount],Ledger[Cost line],$B135,Ledger[Period],G$5)*G$8</f>
        <v>1140</v>
      </c>
      <c r="H135" s="76">
        <f>SUMIFS(Ledger[Amount],Ledger[Cost line],$B135,Ledger[Period],H$5)*H$8</f>
        <v>1260</v>
      </c>
      <c r="I135" s="76">
        <f>SUMIFS(Ledger[Amount],Ledger[Cost line],$B135,Ledger[Period],I$5)*I$8</f>
        <v>6120</v>
      </c>
      <c r="J135" s="76">
        <f>SUMIFS(Ledger[Amount],Ledger[Cost line],$B135,Ledger[Period],J$5)*J$8</f>
        <v>6940</v>
      </c>
      <c r="K135" s="76">
        <f>SUMIFS(Ledger[Amount],Ledger[Cost line],$B135,Ledger[Period],K$5)*K$8</f>
        <v>9860</v>
      </c>
      <c r="L135" s="76">
        <f>SUMIFS(Ledger[Amount],Ledger[Cost line],$B135,Ledger[Period],L$5)*L$8</f>
        <v>0</v>
      </c>
      <c r="M135" s="76">
        <f>SUMIFS(Ledger[Amount],Ledger[Cost line],$B135,Ledger[Period],M$5)*M$8</f>
        <v>0</v>
      </c>
      <c r="N135" s="76">
        <f>SUMIFS(Ledger[Amount],Ledger[Cost line],$B135,Ledger[Period],N$5)*N$8</f>
        <v>0</v>
      </c>
      <c r="O135" s="76">
        <f>SUMIFS(Ledger[Amount],Ledger[Cost line],$B135,Ledger[Period],O$5)*O$8</f>
        <v>0</v>
      </c>
      <c r="P135" s="76">
        <f>SUMIFS(Ledger[Amount],Ledger[Cost line],$B135,Ledger[Period],P$5)*P$8</f>
        <v>0</v>
      </c>
      <c r="Q135" s="76">
        <f>SUMIFS(Ledger[Amount],Ledger[Cost line],$B135,Ledger[Period],Q$5)*Q$8</f>
        <v>0</v>
      </c>
      <c r="R135" s="76">
        <f>SUMIFS(Ledger[Amount],Ledger[Cost line],$B135,Ledger[Period],R$5)*R$8</f>
        <v>0</v>
      </c>
      <c r="S135" s="76">
        <f>SUMIFS(Ledger[Amount],Ledger[Cost line],$B135,Ledger[Period],S$5)*S$8</f>
        <v>0</v>
      </c>
      <c r="T135" s="76">
        <f>SUMIFS(Ledger[Amount],Ledger[Cost line],$B135,Ledger[Period],T$5)*T$8</f>
        <v>0</v>
      </c>
    </row>
    <row r="136">
      <c r="B136" s="119" t="str">
        <f>Inputs!$B$55</f>
        <v>Software &amp; tools</v>
      </c>
      <c r="C136" s="123" t="str">
        <f>Inputs!$C$55</f>
        <v>Platform</v>
      </c>
      <c r="D136" s="69">
        <f>SUM(F136:T136)</f>
        <v>23770</v>
      </c>
      <c r="E136" s="6" t="n"/>
      <c r="F136" s="76">
        <f>SUMIFS(Ledger[Amount],Ledger[Cost line],$B136,Ledger[Period],F$5)*F$8</f>
        <v>1800</v>
      </c>
      <c r="G136" s="76">
        <f>SUMIFS(Ledger[Amount],Ledger[Cost line],$B136,Ledger[Period],G$5)*G$8</f>
        <v>3350</v>
      </c>
      <c r="H136" s="76">
        <f>SUMIFS(Ledger[Amount],Ledger[Cost line],$B136,Ledger[Period],H$5)*H$8</f>
        <v>3200</v>
      </c>
      <c r="I136" s="76">
        <f>SUMIFS(Ledger[Amount],Ledger[Cost line],$B136,Ledger[Period],I$5)*I$8</f>
        <v>5400</v>
      </c>
      <c r="J136" s="76">
        <f>SUMIFS(Ledger[Amount],Ledger[Cost line],$B136,Ledger[Period],J$5)*J$8</f>
        <v>4920</v>
      </c>
      <c r="K136" s="76">
        <f>SUMIFS(Ledger[Amount],Ledger[Cost line],$B136,Ledger[Period],K$5)*K$8</f>
        <v>5100</v>
      </c>
      <c r="L136" s="76">
        <f>SUMIFS(Ledger[Amount],Ledger[Cost line],$B136,Ledger[Period],L$5)*L$8</f>
        <v>0</v>
      </c>
      <c r="M136" s="76">
        <f>SUMIFS(Ledger[Amount],Ledger[Cost line],$B136,Ledger[Period],M$5)*M$8</f>
        <v>0</v>
      </c>
      <c r="N136" s="76">
        <f>SUMIFS(Ledger[Amount],Ledger[Cost line],$B136,Ledger[Period],N$5)*N$8</f>
        <v>0</v>
      </c>
      <c r="O136" s="76">
        <f>SUMIFS(Ledger[Amount],Ledger[Cost line],$B136,Ledger[Period],O$5)*O$8</f>
        <v>0</v>
      </c>
      <c r="P136" s="76">
        <f>SUMIFS(Ledger[Amount],Ledger[Cost line],$B136,Ledger[Period],P$5)*P$8</f>
        <v>0</v>
      </c>
      <c r="Q136" s="76">
        <f>SUMIFS(Ledger[Amount],Ledger[Cost line],$B136,Ledger[Period],Q$5)*Q$8</f>
        <v>0</v>
      </c>
      <c r="R136" s="76">
        <f>SUMIFS(Ledger[Amount],Ledger[Cost line],$B136,Ledger[Period],R$5)*R$8</f>
        <v>0</v>
      </c>
      <c r="S136" s="76">
        <f>SUMIFS(Ledger[Amount],Ledger[Cost line],$B136,Ledger[Period],S$5)*S$8</f>
        <v>0</v>
      </c>
      <c r="T136" s="76">
        <f>SUMIFS(Ledger[Amount],Ledger[Cost line],$B136,Ledger[Period],T$5)*T$8</f>
        <v>0</v>
      </c>
    </row>
    <row r="137">
      <c r="B137" s="119" t="str">
        <f>Inputs!$B$56</f>
        <v>Third-party services</v>
      </c>
      <c r="C137" s="123" t="str">
        <f>Inputs!$C$56</f>
        <v>Platform</v>
      </c>
      <c r="D137" s="69">
        <f>SUM(F137:T137)</f>
        <v>6230</v>
      </c>
      <c r="E137" s="6" t="n"/>
      <c r="F137" s="76">
        <f>SUMIFS(Ledger[Amount],Ledger[Cost line],$B137,Ledger[Period],F$5)*F$8</f>
        <v>0</v>
      </c>
      <c r="G137" s="76">
        <f>SUMIFS(Ledger[Amount],Ledger[Cost line],$B137,Ledger[Period],G$5)*G$8</f>
        <v>210</v>
      </c>
      <c r="H137" s="76">
        <f>SUMIFS(Ledger[Amount],Ledger[Cost line],$B137,Ledger[Period],H$5)*H$8</f>
        <v>340</v>
      </c>
      <c r="I137" s="76">
        <f>SUMIFS(Ledger[Amount],Ledger[Cost line],$B137,Ledger[Period],I$5)*I$8</f>
        <v>1450</v>
      </c>
      <c r="J137" s="76">
        <f>SUMIFS(Ledger[Amount],Ledger[Cost line],$B137,Ledger[Period],J$5)*J$8</f>
        <v>1920</v>
      </c>
      <c r="K137" s="76">
        <f>SUMIFS(Ledger[Amount],Ledger[Cost line],$B137,Ledger[Period],K$5)*K$8</f>
        <v>2310</v>
      </c>
      <c r="L137" s="76">
        <f>SUMIFS(Ledger[Amount],Ledger[Cost line],$B137,Ledger[Period],L$5)*L$8</f>
        <v>0</v>
      </c>
      <c r="M137" s="76">
        <f>SUMIFS(Ledger[Amount],Ledger[Cost line],$B137,Ledger[Period],M$5)*M$8</f>
        <v>0</v>
      </c>
      <c r="N137" s="76">
        <f>SUMIFS(Ledger[Amount],Ledger[Cost line],$B137,Ledger[Period],N$5)*N$8</f>
        <v>0</v>
      </c>
      <c r="O137" s="76">
        <f>SUMIFS(Ledger[Amount],Ledger[Cost line],$B137,Ledger[Period],O$5)*O$8</f>
        <v>0</v>
      </c>
      <c r="P137" s="76">
        <f>SUMIFS(Ledger[Amount],Ledger[Cost line],$B137,Ledger[Period],P$5)*P$8</f>
        <v>0</v>
      </c>
      <c r="Q137" s="76">
        <f>SUMIFS(Ledger[Amount],Ledger[Cost line],$B137,Ledger[Period],Q$5)*Q$8</f>
        <v>0</v>
      </c>
      <c r="R137" s="76">
        <f>SUMIFS(Ledger[Amount],Ledger[Cost line],$B137,Ledger[Period],R$5)*R$8</f>
        <v>0</v>
      </c>
      <c r="S137" s="76">
        <f>SUMIFS(Ledger[Amount],Ledger[Cost line],$B137,Ledger[Period],S$5)*S$8</f>
        <v>0</v>
      </c>
      <c r="T137" s="76">
        <f>SUMIFS(Ledger[Amount],Ledger[Cost line],$B137,Ledger[Period],T$5)*T$8</f>
        <v>0</v>
      </c>
    </row>
    <row r="138">
      <c r="B138" s="119" t="str">
        <f>Inputs!$B$57</f>
        <v>Approved changes</v>
      </c>
      <c r="C138" s="123" t="str">
        <f>Inputs!$C$57</f>
        <v>Changes</v>
      </c>
      <c r="D138" s="69">
        <f>SUM(F138:T138)</f>
        <v>0</v>
      </c>
      <c r="E138" s="6" t="n"/>
      <c r="F138" s="76">
        <f>SUMIFS(Ledger[Amount],Ledger[Cost line],$B138,Ledger[Period],F$5)*F$8</f>
        <v>0</v>
      </c>
      <c r="G138" s="76">
        <f>SUMIFS(Ledger[Amount],Ledger[Cost line],$B138,Ledger[Period],G$5)*G$8</f>
        <v>0</v>
      </c>
      <c r="H138" s="76">
        <f>SUMIFS(Ledger[Amount],Ledger[Cost line],$B138,Ledger[Period],H$5)*H$8</f>
        <v>0</v>
      </c>
      <c r="I138" s="76">
        <f>SUMIFS(Ledger[Amount],Ledger[Cost line],$B138,Ledger[Period],I$5)*I$8</f>
        <v>0</v>
      </c>
      <c r="J138" s="76">
        <f>SUMIFS(Ledger[Amount],Ledger[Cost line],$B138,Ledger[Period],J$5)*J$8</f>
        <v>0</v>
      </c>
      <c r="K138" s="76">
        <f>SUMIFS(Ledger[Amount],Ledger[Cost line],$B138,Ledger[Period],K$5)*K$8</f>
        <v>0</v>
      </c>
      <c r="L138" s="76">
        <f>SUMIFS(Ledger[Amount],Ledger[Cost line],$B138,Ledger[Period],L$5)*L$8</f>
        <v>0</v>
      </c>
      <c r="M138" s="76">
        <f>SUMIFS(Ledger[Amount],Ledger[Cost line],$B138,Ledger[Period],M$5)*M$8</f>
        <v>0</v>
      </c>
      <c r="N138" s="76">
        <f>SUMIFS(Ledger[Amount],Ledger[Cost line],$B138,Ledger[Period],N$5)*N$8</f>
        <v>0</v>
      </c>
      <c r="O138" s="76">
        <f>SUMIFS(Ledger[Amount],Ledger[Cost line],$B138,Ledger[Period],O$5)*O$8</f>
        <v>0</v>
      </c>
      <c r="P138" s="76">
        <f>SUMIFS(Ledger[Amount],Ledger[Cost line],$B138,Ledger[Period],P$5)*P$8</f>
        <v>0</v>
      </c>
      <c r="Q138" s="76">
        <f>SUMIFS(Ledger[Amount],Ledger[Cost line],$B138,Ledger[Period],Q$5)*Q$8</f>
        <v>0</v>
      </c>
      <c r="R138" s="76">
        <f>SUMIFS(Ledger[Amount],Ledger[Cost line],$B138,Ledger[Period],R$5)*R$8</f>
        <v>0</v>
      </c>
      <c r="S138" s="76">
        <f>SUMIFS(Ledger[Amount],Ledger[Cost line],$B138,Ledger[Period],S$5)*S$8</f>
        <v>0</v>
      </c>
      <c r="T138" s="76">
        <f>SUMIFS(Ledger[Amount],Ledger[Cost line],$B138,Ledger[Period],T$5)*T$8</f>
        <v>0</v>
      </c>
    </row>
    <row r="139">
      <c r="B139" s="60" t="inlineStr">
        <is>
          <t>Actuals</t>
        </is>
      </c>
      <c r="C139" s="75" t="n"/>
      <c r="D139" s="61">
        <f>SUM(D122:D138)</f>
        <v>826535</v>
      </c>
      <c r="E139" s="75" t="n"/>
      <c r="F139" s="61">
        <f>SUM(F122:F138)</f>
        <v>48055</v>
      </c>
      <c r="G139" s="61">
        <f>SUM(G122:G138)</f>
        <v>109155</v>
      </c>
      <c r="H139" s="61">
        <f>SUM(H122:H138)</f>
        <v>92285</v>
      </c>
      <c r="I139" s="61">
        <f>SUM(I122:I138)</f>
        <v>189615</v>
      </c>
      <c r="J139" s="61">
        <f>SUM(J122:J138)</f>
        <v>182485</v>
      </c>
      <c r="K139" s="61">
        <f>SUM(K122:K138)</f>
        <v>204940</v>
      </c>
      <c r="L139" s="61">
        <f>SUM(L122:L138)</f>
        <v>0</v>
      </c>
      <c r="M139" s="61">
        <f>SUM(M122:M138)</f>
        <v>0</v>
      </c>
      <c r="N139" s="61">
        <f>SUM(N122:N138)</f>
        <v>0</v>
      </c>
      <c r="O139" s="61">
        <f>SUM(O122:O138)</f>
        <v>0</v>
      </c>
      <c r="P139" s="61">
        <f>SUM(P122:P138)</f>
        <v>0</v>
      </c>
      <c r="Q139" s="61">
        <f>SUM(Q122:Q138)</f>
        <v>0</v>
      </c>
      <c r="R139" s="61">
        <f>SUM(R122:R138)</f>
        <v>0</v>
      </c>
      <c r="S139" s="61">
        <f>SUM(S122:S138)</f>
        <v>0</v>
      </c>
      <c r="T139" s="61">
        <f>SUM(T122:T138)</f>
        <v>0</v>
      </c>
    </row>
    <row r="140"/>
    <row r="141" ht="22" customHeight="1">
      <c r="B141" s="39" t="inlineStr">
        <is>
          <t>12  Forecast by cost line</t>
        </is>
      </c>
      <c r="C141" s="40" t="n"/>
      <c r="D141" s="40" t="n"/>
      <c r="E141" s="40" t="n"/>
      <c r="F141" s="40" t="n"/>
      <c r="G141" s="40" t="n"/>
      <c r="H141" s="40" t="n"/>
      <c r="I141" s="40" t="n"/>
      <c r="J141" s="40" t="n"/>
      <c r="K141" s="40" t="n"/>
      <c r="L141" s="40" t="n"/>
      <c r="M141" s="40" t="n"/>
      <c r="N141" s="40" t="n"/>
      <c r="O141" s="40" t="n"/>
      <c r="P141" s="40" t="n"/>
      <c r="Q141" s="40" t="n"/>
      <c r="R141" s="40" t="n"/>
      <c r="S141" s="40" t="n"/>
      <c r="T141" s="40" t="n"/>
    </row>
    <row r="142">
      <c r="B142" s="41" t="inlineStr">
        <is>
          <t>The current plan, for the months after the last closed month.</t>
        </is>
      </c>
    </row>
    <row r="143">
      <c r="B143" s="119" t="str">
        <f>Inputs!$B$41</f>
        <v>Product management</v>
      </c>
      <c r="C143" s="123" t="str">
        <f>Inputs!$C$41</f>
        <v>Team</v>
      </c>
      <c r="D143" s="69">
        <f>SUM(F143:T143)</f>
        <v>72500</v>
      </c>
      <c r="E143" s="6" t="n"/>
      <c r="F143" s="57">
        <f>F52*(1-F$8)</f>
        <v>0</v>
      </c>
      <c r="G143" s="57">
        <f>G52*(1-G$8)</f>
        <v>0</v>
      </c>
      <c r="H143" s="57">
        <f>H52*(1-H$8)</f>
        <v>0</v>
      </c>
      <c r="I143" s="57">
        <f>I52*(1-I$8)</f>
        <v>0</v>
      </c>
      <c r="J143" s="57">
        <f>J52*(1-J$8)</f>
        <v>0</v>
      </c>
      <c r="K143" s="57">
        <f>K52*(1-K$8)</f>
        <v>0</v>
      </c>
      <c r="L143" s="57">
        <f>L52*(1-L$8)</f>
        <v>14500</v>
      </c>
      <c r="M143" s="57">
        <f>M52*(1-M$8)</f>
        <v>14500</v>
      </c>
      <c r="N143" s="57">
        <f>N52*(1-N$8)</f>
        <v>14500</v>
      </c>
      <c r="O143" s="57">
        <f>O52*(1-O$8)</f>
        <v>14500</v>
      </c>
      <c r="P143" s="57">
        <f>P52*(1-P$8)</f>
        <v>7250</v>
      </c>
      <c r="Q143" s="57">
        <f>Q52*(1-Q$8)</f>
        <v>7250</v>
      </c>
      <c r="R143" s="57">
        <f>R52*(1-R$8)</f>
        <v>0</v>
      </c>
      <c r="S143" s="57">
        <f>S52*(1-S$8)</f>
        <v>0</v>
      </c>
      <c r="T143" s="57">
        <f>T52*(1-T$8)</f>
        <v>0</v>
      </c>
    </row>
    <row r="144">
      <c r="B144" s="119" t="str">
        <f>Inputs!$B$42</f>
        <v>Product design</v>
      </c>
      <c r="C144" s="123" t="str">
        <f>Inputs!$C$42</f>
        <v>Team</v>
      </c>
      <c r="D144" s="69">
        <f>SUM(F144:T144)</f>
        <v>37500</v>
      </c>
      <c r="E144" s="6" t="n"/>
      <c r="F144" s="57">
        <f>F53*(1-F$8)</f>
        <v>0</v>
      </c>
      <c r="G144" s="57">
        <f>G53*(1-G$8)</f>
        <v>0</v>
      </c>
      <c r="H144" s="57">
        <f>H53*(1-H$8)</f>
        <v>0</v>
      </c>
      <c r="I144" s="57">
        <f>I53*(1-I$8)</f>
        <v>0</v>
      </c>
      <c r="J144" s="57">
        <f>J53*(1-J$8)</f>
        <v>0</v>
      </c>
      <c r="K144" s="57">
        <f>K53*(1-K$8)</f>
        <v>0</v>
      </c>
      <c r="L144" s="57">
        <f>L53*(1-L$8)</f>
        <v>9375</v>
      </c>
      <c r="M144" s="57">
        <f>M53*(1-M$8)</f>
        <v>9375</v>
      </c>
      <c r="N144" s="57">
        <f>N53*(1-N$8)</f>
        <v>6250</v>
      </c>
      <c r="O144" s="57">
        <f>O53*(1-O$8)</f>
        <v>6250</v>
      </c>
      <c r="P144" s="57">
        <f>P53*(1-P$8)</f>
        <v>3125</v>
      </c>
      <c r="Q144" s="57">
        <f>Q53*(1-Q$8)</f>
        <v>3125</v>
      </c>
      <c r="R144" s="57">
        <f>R53*(1-R$8)</f>
        <v>0</v>
      </c>
      <c r="S144" s="57">
        <f>S53*(1-S$8)</f>
        <v>0</v>
      </c>
      <c r="T144" s="57">
        <f>T53*(1-T$8)</f>
        <v>0</v>
      </c>
    </row>
    <row r="145">
      <c r="B145" s="119" t="str">
        <f>Inputs!$B$43</f>
        <v>iOS development</v>
      </c>
      <c r="C145" s="123" t="str">
        <f>Inputs!$C$43</f>
        <v>Team</v>
      </c>
      <c r="D145" s="69">
        <f>SUM(F145:T145)</f>
        <v>126360</v>
      </c>
      <c r="E145" s="6" t="n"/>
      <c r="F145" s="57">
        <f>F54*(1-F$8)</f>
        <v>0</v>
      </c>
      <c r="G145" s="57">
        <f>G54*(1-G$8)</f>
        <v>0</v>
      </c>
      <c r="H145" s="57">
        <f>H54*(1-H$8)</f>
        <v>0</v>
      </c>
      <c r="I145" s="57">
        <f>I54*(1-I$8)</f>
        <v>0</v>
      </c>
      <c r="J145" s="57">
        <f>J54*(1-J$8)</f>
        <v>0</v>
      </c>
      <c r="K145" s="57">
        <f>K54*(1-K$8)</f>
        <v>0</v>
      </c>
      <c r="L145" s="57">
        <f>L54*(1-L$8)</f>
        <v>28080</v>
      </c>
      <c r="M145" s="57">
        <f>M54*(1-M$8)</f>
        <v>28080</v>
      </c>
      <c r="N145" s="57">
        <f>N54*(1-N$8)</f>
        <v>28080</v>
      </c>
      <c r="O145" s="57">
        <f>O54*(1-O$8)</f>
        <v>28080</v>
      </c>
      <c r="P145" s="57">
        <f>P54*(1-P$8)</f>
        <v>7020</v>
      </c>
      <c r="Q145" s="57">
        <f>Q54*(1-Q$8)</f>
        <v>7020</v>
      </c>
      <c r="R145" s="57">
        <f>R54*(1-R$8)</f>
        <v>0</v>
      </c>
      <c r="S145" s="57">
        <f>S54*(1-S$8)</f>
        <v>0</v>
      </c>
      <c r="T145" s="57">
        <f>T54*(1-T$8)</f>
        <v>0</v>
      </c>
    </row>
    <row r="146">
      <c r="B146" s="119" t="str">
        <f>Inputs!$B$44</f>
        <v>Android development</v>
      </c>
      <c r="C146" s="123" t="str">
        <f>Inputs!$C$44</f>
        <v>Team</v>
      </c>
      <c r="D146" s="69">
        <f>SUM(F146:T146)</f>
        <v>150480</v>
      </c>
      <c r="E146" s="6" t="n"/>
      <c r="F146" s="57">
        <f>F55*(1-F$8)</f>
        <v>0</v>
      </c>
      <c r="G146" s="57">
        <f>G55*(1-G$8)</f>
        <v>0</v>
      </c>
      <c r="H146" s="57">
        <f>H55*(1-H$8)</f>
        <v>0</v>
      </c>
      <c r="I146" s="57">
        <f>I55*(1-I$8)</f>
        <v>0</v>
      </c>
      <c r="J146" s="57">
        <f>J55*(1-J$8)</f>
        <v>0</v>
      </c>
      <c r="K146" s="57">
        <f>K55*(1-K$8)</f>
        <v>0</v>
      </c>
      <c r="L146" s="57">
        <f>L55*(1-L$8)</f>
        <v>34200</v>
      </c>
      <c r="M146" s="57">
        <f>M55*(1-M$8)</f>
        <v>34200</v>
      </c>
      <c r="N146" s="57">
        <f>N55*(1-N$8)</f>
        <v>34200</v>
      </c>
      <c r="O146" s="57">
        <f>O55*(1-O$8)</f>
        <v>34200</v>
      </c>
      <c r="P146" s="57">
        <f>P55*(1-P$8)</f>
        <v>6840</v>
      </c>
      <c r="Q146" s="57">
        <f>Q55*(1-Q$8)</f>
        <v>6840</v>
      </c>
      <c r="R146" s="57">
        <f>R55*(1-R$8)</f>
        <v>0</v>
      </c>
      <c r="S146" s="57">
        <f>S55*(1-S$8)</f>
        <v>0</v>
      </c>
      <c r="T146" s="57">
        <f>T55*(1-T$8)</f>
        <v>0</v>
      </c>
    </row>
    <row r="147">
      <c r="B147" s="119" t="str">
        <f>Inputs!$B$45</f>
        <v>Backend &amp; integrations</v>
      </c>
      <c r="C147" s="123" t="str">
        <f>Inputs!$C$45</f>
        <v>Team</v>
      </c>
      <c r="D147" s="69">
        <f>SUM(F147:T147)</f>
        <v>168000</v>
      </c>
      <c r="E147" s="6" t="n"/>
      <c r="F147" s="57">
        <f>F56*(1-F$8)</f>
        <v>0</v>
      </c>
      <c r="G147" s="57">
        <f>G56*(1-G$8)</f>
        <v>0</v>
      </c>
      <c r="H147" s="57">
        <f>H56*(1-H$8)</f>
        <v>0</v>
      </c>
      <c r="I147" s="57">
        <f>I56*(1-I$8)</f>
        <v>0</v>
      </c>
      <c r="J147" s="57">
        <f>J56*(1-J$8)</f>
        <v>0</v>
      </c>
      <c r="K147" s="57">
        <f>K56*(1-K$8)</f>
        <v>0</v>
      </c>
      <c r="L147" s="57">
        <f>L56*(1-L$8)</f>
        <v>42000</v>
      </c>
      <c r="M147" s="57">
        <f>M56*(1-M$8)</f>
        <v>42000</v>
      </c>
      <c r="N147" s="57">
        <f>N56*(1-N$8)</f>
        <v>28000</v>
      </c>
      <c r="O147" s="57">
        <f>O56*(1-O$8)</f>
        <v>28000</v>
      </c>
      <c r="P147" s="57">
        <f>P56*(1-P$8)</f>
        <v>14000</v>
      </c>
      <c r="Q147" s="57">
        <f>Q56*(1-Q$8)</f>
        <v>14000</v>
      </c>
      <c r="R147" s="57">
        <f>R56*(1-R$8)</f>
        <v>0</v>
      </c>
      <c r="S147" s="57">
        <f>S56*(1-S$8)</f>
        <v>0</v>
      </c>
      <c r="T147" s="57">
        <f>T56*(1-T$8)</f>
        <v>0</v>
      </c>
    </row>
    <row r="148">
      <c r="B148" s="119" t="str">
        <f>Inputs!$B$46</f>
        <v>Quality assurance</v>
      </c>
      <c r="C148" s="123" t="str">
        <f>Inputs!$C$46</f>
        <v>Team</v>
      </c>
      <c r="D148" s="69">
        <f>SUM(F148:T148)</f>
        <v>95580</v>
      </c>
      <c r="E148" s="6" t="n"/>
      <c r="F148" s="57">
        <f>F57*(1-F$8)</f>
        <v>0</v>
      </c>
      <c r="G148" s="57">
        <f>G57*(1-G$8)</f>
        <v>0</v>
      </c>
      <c r="H148" s="57">
        <f>H57*(1-H$8)</f>
        <v>0</v>
      </c>
      <c r="I148" s="57">
        <f>I57*(1-I$8)</f>
        <v>0</v>
      </c>
      <c r="J148" s="57">
        <f>J57*(1-J$8)</f>
        <v>0</v>
      </c>
      <c r="K148" s="57">
        <f>K57*(1-K$8)</f>
        <v>0</v>
      </c>
      <c r="L148" s="57">
        <f>L57*(1-L$8)</f>
        <v>21240</v>
      </c>
      <c r="M148" s="57">
        <f>M57*(1-M$8)</f>
        <v>21240</v>
      </c>
      <c r="N148" s="57">
        <f>N57*(1-N$8)</f>
        <v>21240</v>
      </c>
      <c r="O148" s="57">
        <f>O57*(1-O$8)</f>
        <v>21240</v>
      </c>
      <c r="P148" s="57">
        <f>P57*(1-P$8)</f>
        <v>5310</v>
      </c>
      <c r="Q148" s="57">
        <f>Q57*(1-Q$8)</f>
        <v>5310</v>
      </c>
      <c r="R148" s="57">
        <f>R57*(1-R$8)</f>
        <v>0</v>
      </c>
      <c r="S148" s="57">
        <f>S57*(1-S$8)</f>
        <v>0</v>
      </c>
      <c r="T148" s="57">
        <f>T57*(1-T$8)</f>
        <v>0</v>
      </c>
    </row>
    <row r="149">
      <c r="B149" s="119" t="str">
        <f>Inputs!$B$47</f>
        <v>Cloud &amp; DevOps</v>
      </c>
      <c r="C149" s="123" t="str">
        <f>Inputs!$C$47</f>
        <v>Team</v>
      </c>
      <c r="D149" s="69">
        <f>SUM(F149:T149)</f>
        <v>58000</v>
      </c>
      <c r="E149" s="6" t="n"/>
      <c r="F149" s="57">
        <f>F58*(1-F$8)</f>
        <v>0</v>
      </c>
      <c r="G149" s="57">
        <f>G58*(1-G$8)</f>
        <v>0</v>
      </c>
      <c r="H149" s="57">
        <f>H58*(1-H$8)</f>
        <v>0</v>
      </c>
      <c r="I149" s="57">
        <f>I58*(1-I$8)</f>
        <v>0</v>
      </c>
      <c r="J149" s="57">
        <f>J58*(1-J$8)</f>
        <v>0</v>
      </c>
      <c r="K149" s="57">
        <f>K58*(1-K$8)</f>
        <v>0</v>
      </c>
      <c r="L149" s="57">
        <f>L58*(1-L$8)</f>
        <v>7250</v>
      </c>
      <c r="M149" s="57">
        <f>M58*(1-M$8)</f>
        <v>7250</v>
      </c>
      <c r="N149" s="57">
        <f>N58*(1-N$8)</f>
        <v>14500</v>
      </c>
      <c r="O149" s="57">
        <f>O58*(1-O$8)</f>
        <v>14500</v>
      </c>
      <c r="P149" s="57">
        <f>P58*(1-P$8)</f>
        <v>7250</v>
      </c>
      <c r="Q149" s="57">
        <f>Q58*(1-Q$8)</f>
        <v>7250</v>
      </c>
      <c r="R149" s="57">
        <f>R58*(1-R$8)</f>
        <v>0</v>
      </c>
      <c r="S149" s="57">
        <f>S58*(1-S$8)</f>
        <v>0</v>
      </c>
      <c r="T149" s="57">
        <f>T58*(1-T$8)</f>
        <v>0</v>
      </c>
    </row>
    <row r="150">
      <c r="B150" s="119" t="str">
        <f>Inputs!$B$48</f>
        <v>Engineering lead</v>
      </c>
      <c r="C150" s="123" t="str">
        <f>Inputs!$C$48</f>
        <v>Team</v>
      </c>
      <c r="D150" s="69">
        <f>SUM(F150:T150)</f>
        <v>82500</v>
      </c>
      <c r="E150" s="6" t="n"/>
      <c r="F150" s="57">
        <f>F59*(1-F$8)</f>
        <v>0</v>
      </c>
      <c r="G150" s="57">
        <f>G59*(1-G$8)</f>
        <v>0</v>
      </c>
      <c r="H150" s="57">
        <f>H59*(1-H$8)</f>
        <v>0</v>
      </c>
      <c r="I150" s="57">
        <f>I59*(1-I$8)</f>
        <v>0</v>
      </c>
      <c r="J150" s="57">
        <f>J59*(1-J$8)</f>
        <v>0</v>
      </c>
      <c r="K150" s="57">
        <f>K59*(1-K$8)</f>
        <v>0</v>
      </c>
      <c r="L150" s="57">
        <f>L59*(1-L$8)</f>
        <v>16500</v>
      </c>
      <c r="M150" s="57">
        <f>M59*(1-M$8)</f>
        <v>16500</v>
      </c>
      <c r="N150" s="57">
        <f>N59*(1-N$8)</f>
        <v>16500</v>
      </c>
      <c r="O150" s="57">
        <f>O59*(1-O$8)</f>
        <v>16500</v>
      </c>
      <c r="P150" s="57">
        <f>P59*(1-P$8)</f>
        <v>8250</v>
      </c>
      <c r="Q150" s="57">
        <f>Q59*(1-Q$8)</f>
        <v>8250</v>
      </c>
      <c r="R150" s="57">
        <f>R59*(1-R$8)</f>
        <v>0</v>
      </c>
      <c r="S150" s="57">
        <f>S59*(1-S$8)</f>
        <v>0</v>
      </c>
      <c r="T150" s="57">
        <f>T59*(1-T$8)</f>
        <v>0</v>
      </c>
    </row>
    <row r="151">
      <c r="B151" s="119" t="str">
        <f>Inputs!$B$49</f>
        <v>User research &amp; testing</v>
      </c>
      <c r="C151" s="123" t="str">
        <f>Inputs!$C$49</f>
        <v>Purchases</v>
      </c>
      <c r="D151" s="69">
        <f>SUM(F151:T151)</f>
        <v>18000</v>
      </c>
      <c r="E151" s="6" t="n"/>
      <c r="F151" s="57">
        <f>F86*(1-F$8)</f>
        <v>0</v>
      </c>
      <c r="G151" s="57">
        <f>G86*(1-G$8)</f>
        <v>0</v>
      </c>
      <c r="H151" s="57">
        <f>H86*(1-H$8)</f>
        <v>0</v>
      </c>
      <c r="I151" s="57">
        <f>I86*(1-I$8)</f>
        <v>0</v>
      </c>
      <c r="J151" s="57">
        <f>J86*(1-J$8)</f>
        <v>0</v>
      </c>
      <c r="K151" s="57">
        <f>K86*(1-K$8)</f>
        <v>0</v>
      </c>
      <c r="L151" s="57">
        <f>L86*(1-L$8)</f>
        <v>0</v>
      </c>
      <c r="M151" s="57">
        <f>M86*(1-M$8)</f>
        <v>0</v>
      </c>
      <c r="N151" s="57">
        <f>N86*(1-N$8)</f>
        <v>18000</v>
      </c>
      <c r="O151" s="57">
        <f>O86*(1-O$8)</f>
        <v>0</v>
      </c>
      <c r="P151" s="57">
        <f>P86*(1-P$8)</f>
        <v>0</v>
      </c>
      <c r="Q151" s="57">
        <f>Q86*(1-Q$8)</f>
        <v>0</v>
      </c>
      <c r="R151" s="57">
        <f>R86*(1-R$8)</f>
        <v>0</v>
      </c>
      <c r="S151" s="57">
        <f>S86*(1-S$8)</f>
        <v>0</v>
      </c>
      <c r="T151" s="57">
        <f>T86*(1-T$8)</f>
        <v>0</v>
      </c>
    </row>
    <row r="152">
      <c r="B152" s="119" t="str">
        <f>Inputs!$B$50</f>
        <v>Security &amp; accessibility</v>
      </c>
      <c r="C152" s="123" t="str">
        <f>Inputs!$C$50</f>
        <v>Purchases</v>
      </c>
      <c r="D152" s="69">
        <f>SUM(F152:T152)</f>
        <v>48500</v>
      </c>
      <c r="E152" s="6" t="n"/>
      <c r="F152" s="57">
        <f>F87*(1-F$8)</f>
        <v>0</v>
      </c>
      <c r="G152" s="57">
        <f>G87*(1-G$8)</f>
        <v>0</v>
      </c>
      <c r="H152" s="57">
        <f>H87*(1-H$8)</f>
        <v>0</v>
      </c>
      <c r="I152" s="57">
        <f>I87*(1-I$8)</f>
        <v>0</v>
      </c>
      <c r="J152" s="57">
        <f>J87*(1-J$8)</f>
        <v>0</v>
      </c>
      <c r="K152" s="57">
        <f>K87*(1-K$8)</f>
        <v>0</v>
      </c>
      <c r="L152" s="57">
        <f>L87*(1-L$8)</f>
        <v>0</v>
      </c>
      <c r="M152" s="57">
        <f>M87*(1-M$8)</f>
        <v>0</v>
      </c>
      <c r="N152" s="57">
        <f>N87*(1-N$8)</f>
        <v>34500</v>
      </c>
      <c r="O152" s="57">
        <f>O87*(1-O$8)</f>
        <v>14000</v>
      </c>
      <c r="P152" s="57">
        <f>P87*(1-P$8)</f>
        <v>0</v>
      </c>
      <c r="Q152" s="57">
        <f>Q87*(1-Q$8)</f>
        <v>0</v>
      </c>
      <c r="R152" s="57">
        <f>R87*(1-R$8)</f>
        <v>0</v>
      </c>
      <c r="S152" s="57">
        <f>S87*(1-S$8)</f>
        <v>0</v>
      </c>
      <c r="T152" s="57">
        <f>T87*(1-T$8)</f>
        <v>0</v>
      </c>
    </row>
    <row r="153">
      <c r="B153" s="119" t="str">
        <f>Inputs!$B$51</f>
        <v>Payment certification</v>
      </c>
      <c r="C153" s="123" t="str">
        <f>Inputs!$C$51</f>
        <v>Purchases</v>
      </c>
      <c r="D153" s="69">
        <f>SUM(F153:T153)</f>
        <v>0</v>
      </c>
      <c r="E153" s="6" t="n"/>
      <c r="F153" s="57">
        <f>F88*(1-F$8)</f>
        <v>0</v>
      </c>
      <c r="G153" s="57">
        <f>G88*(1-G$8)</f>
        <v>0</v>
      </c>
      <c r="H153" s="57">
        <f>H88*(1-H$8)</f>
        <v>0</v>
      </c>
      <c r="I153" s="57">
        <f>I88*(1-I$8)</f>
        <v>0</v>
      </c>
      <c r="J153" s="57">
        <f>J88*(1-J$8)</f>
        <v>0</v>
      </c>
      <c r="K153" s="57">
        <f>K88*(1-K$8)</f>
        <v>0</v>
      </c>
      <c r="L153" s="57">
        <f>L88*(1-L$8)</f>
        <v>0</v>
      </c>
      <c r="M153" s="57">
        <f>M88*(1-M$8)</f>
        <v>0</v>
      </c>
      <c r="N153" s="57">
        <f>N88*(1-N$8)</f>
        <v>0</v>
      </c>
      <c r="O153" s="57">
        <f>O88*(1-O$8)</f>
        <v>0</v>
      </c>
      <c r="P153" s="57">
        <f>P88*(1-P$8)</f>
        <v>0</v>
      </c>
      <c r="Q153" s="57">
        <f>Q88*(1-Q$8)</f>
        <v>0</v>
      </c>
      <c r="R153" s="57">
        <f>R88*(1-R$8)</f>
        <v>0</v>
      </c>
      <c r="S153" s="57">
        <f>S88*(1-S$8)</f>
        <v>0</v>
      </c>
      <c r="T153" s="57">
        <f>T88*(1-T$8)</f>
        <v>0</v>
      </c>
    </row>
    <row r="154">
      <c r="B154" s="119" t="str">
        <f>Inputs!$B$52</f>
        <v>Test devices</v>
      </c>
      <c r="C154" s="123" t="str">
        <f>Inputs!$C$52</f>
        <v>Purchases</v>
      </c>
      <c r="D154" s="69">
        <f>SUM(F154:T154)</f>
        <v>3800</v>
      </c>
      <c r="E154" s="6" t="n"/>
      <c r="F154" s="57">
        <f>F89*(1-F$8)</f>
        <v>0</v>
      </c>
      <c r="G154" s="57">
        <f>G89*(1-G$8)</f>
        <v>0</v>
      </c>
      <c r="H154" s="57">
        <f>H89*(1-H$8)</f>
        <v>0</v>
      </c>
      <c r="I154" s="57">
        <f>I89*(1-I$8)</f>
        <v>0</v>
      </c>
      <c r="J154" s="57">
        <f>J89*(1-J$8)</f>
        <v>0</v>
      </c>
      <c r="K154" s="57">
        <f>K89*(1-K$8)</f>
        <v>0</v>
      </c>
      <c r="L154" s="57">
        <f>L89*(1-L$8)</f>
        <v>0</v>
      </c>
      <c r="M154" s="57">
        <f>M89*(1-M$8)</f>
        <v>0</v>
      </c>
      <c r="N154" s="57">
        <f>N89*(1-N$8)</f>
        <v>3800</v>
      </c>
      <c r="O154" s="57">
        <f>O89*(1-O$8)</f>
        <v>0</v>
      </c>
      <c r="P154" s="57">
        <f>P89*(1-P$8)</f>
        <v>0</v>
      </c>
      <c r="Q154" s="57">
        <f>Q89*(1-Q$8)</f>
        <v>0</v>
      </c>
      <c r="R154" s="57">
        <f>R89*(1-R$8)</f>
        <v>0</v>
      </c>
      <c r="S154" s="57">
        <f>S89*(1-S$8)</f>
        <v>0</v>
      </c>
      <c r="T154" s="57">
        <f>T89*(1-T$8)</f>
        <v>0</v>
      </c>
    </row>
    <row r="155">
      <c r="B155" s="119" t="str">
        <f>Inputs!$B$53</f>
        <v>Launch content</v>
      </c>
      <c r="C155" s="123" t="str">
        <f>Inputs!$C$53</f>
        <v>Purchases</v>
      </c>
      <c r="D155" s="69">
        <f>SUM(F155:T155)</f>
        <v>22000</v>
      </c>
      <c r="E155" s="6" t="n"/>
      <c r="F155" s="57">
        <f>F90*(1-F$8)</f>
        <v>0</v>
      </c>
      <c r="G155" s="57">
        <f>G90*(1-G$8)</f>
        <v>0</v>
      </c>
      <c r="H155" s="57">
        <f>H90*(1-H$8)</f>
        <v>0</v>
      </c>
      <c r="I155" s="57">
        <f>I90*(1-I$8)</f>
        <v>0</v>
      </c>
      <c r="J155" s="57">
        <f>J90*(1-J$8)</f>
        <v>0</v>
      </c>
      <c r="K155" s="57">
        <f>K90*(1-K$8)</f>
        <v>0</v>
      </c>
      <c r="L155" s="57">
        <f>L90*(1-L$8)</f>
        <v>0</v>
      </c>
      <c r="M155" s="57">
        <f>M90*(1-M$8)</f>
        <v>0</v>
      </c>
      <c r="N155" s="57">
        <f>N90*(1-N$8)</f>
        <v>0</v>
      </c>
      <c r="O155" s="57">
        <f>O90*(1-O$8)</f>
        <v>22000</v>
      </c>
      <c r="P155" s="57">
        <f>P90*(1-P$8)</f>
        <v>0</v>
      </c>
      <c r="Q155" s="57">
        <f>Q90*(1-Q$8)</f>
        <v>0</v>
      </c>
      <c r="R155" s="57">
        <f>R90*(1-R$8)</f>
        <v>0</v>
      </c>
      <c r="S155" s="57">
        <f>S90*(1-S$8)</f>
        <v>0</v>
      </c>
      <c r="T155" s="57">
        <f>T90*(1-T$8)</f>
        <v>0</v>
      </c>
    </row>
    <row r="156">
      <c r="B156" s="119" t="str">
        <f>Inputs!$B$54</f>
        <v>Cloud hosting</v>
      </c>
      <c r="C156" s="123" t="str">
        <f>Inputs!$C$54</f>
        <v>Platform</v>
      </c>
      <c r="D156" s="69">
        <f>SUM(F156:T156)</f>
        <v>57400</v>
      </c>
      <c r="E156" s="6" t="n"/>
      <c r="F156" s="57">
        <f>F70*(1-F$8)</f>
        <v>0</v>
      </c>
      <c r="G156" s="57">
        <f>G70*(1-G$8)</f>
        <v>0</v>
      </c>
      <c r="H156" s="57">
        <f>H70*(1-H$8)</f>
        <v>0</v>
      </c>
      <c r="I156" s="57">
        <f>I70*(1-I$8)</f>
        <v>0</v>
      </c>
      <c r="J156" s="57">
        <f>J70*(1-J$8)</f>
        <v>0</v>
      </c>
      <c r="K156" s="57">
        <f>K70*(1-K$8)</f>
        <v>0</v>
      </c>
      <c r="L156" s="57">
        <f>L70*(1-L$8)</f>
        <v>7200</v>
      </c>
      <c r="M156" s="57">
        <f>M70*(1-M$8)</f>
        <v>7200</v>
      </c>
      <c r="N156" s="57">
        <f>N70*(1-N$8)</f>
        <v>9000</v>
      </c>
      <c r="O156" s="57">
        <f>O70*(1-O$8)</f>
        <v>9000</v>
      </c>
      <c r="P156" s="57">
        <f>P70*(1-P$8)</f>
        <v>12500</v>
      </c>
      <c r="Q156" s="57">
        <f>Q70*(1-Q$8)</f>
        <v>12500</v>
      </c>
      <c r="R156" s="57">
        <f>R70*(1-R$8)</f>
        <v>0</v>
      </c>
      <c r="S156" s="57">
        <f>S70*(1-S$8)</f>
        <v>0</v>
      </c>
      <c r="T156" s="57">
        <f>T70*(1-T$8)</f>
        <v>0</v>
      </c>
    </row>
    <row r="157">
      <c r="B157" s="119" t="str">
        <f>Inputs!$B$55</f>
        <v>Software &amp; tools</v>
      </c>
      <c r="C157" s="123" t="str">
        <f>Inputs!$C$55</f>
        <v>Platform</v>
      </c>
      <c r="D157" s="69">
        <f>SUM(F157:T157)</f>
        <v>28400</v>
      </c>
      <c r="E157" s="6" t="n"/>
      <c r="F157" s="57">
        <f>F71*(1-F$8)</f>
        <v>0</v>
      </c>
      <c r="G157" s="57">
        <f>G71*(1-G$8)</f>
        <v>0</v>
      </c>
      <c r="H157" s="57">
        <f>H71*(1-H$8)</f>
        <v>0</v>
      </c>
      <c r="I157" s="57">
        <f>I71*(1-I$8)</f>
        <v>0</v>
      </c>
      <c r="J157" s="57">
        <f>J71*(1-J$8)</f>
        <v>0</v>
      </c>
      <c r="K157" s="57">
        <f>K71*(1-K$8)</f>
        <v>0</v>
      </c>
      <c r="L157" s="57">
        <f>L71*(1-L$8)</f>
        <v>5100</v>
      </c>
      <c r="M157" s="57">
        <f>M71*(1-M$8)</f>
        <v>5100</v>
      </c>
      <c r="N157" s="57">
        <f>N71*(1-N$8)</f>
        <v>5100</v>
      </c>
      <c r="O157" s="57">
        <f>O71*(1-O$8)</f>
        <v>5100</v>
      </c>
      <c r="P157" s="57">
        <f>P71*(1-P$8)</f>
        <v>4000</v>
      </c>
      <c r="Q157" s="57">
        <f>Q71*(1-Q$8)</f>
        <v>4000</v>
      </c>
      <c r="R157" s="57">
        <f>R71*(1-R$8)</f>
        <v>0</v>
      </c>
      <c r="S157" s="57">
        <f>S71*(1-S$8)</f>
        <v>0</v>
      </c>
      <c r="T157" s="57">
        <f>T71*(1-T$8)</f>
        <v>0</v>
      </c>
    </row>
    <row r="158">
      <c r="B158" s="119" t="str">
        <f>Inputs!$B$56</f>
        <v>Third-party services</v>
      </c>
      <c r="C158" s="123" t="str">
        <f>Inputs!$C$56</f>
        <v>Platform</v>
      </c>
      <c r="D158" s="69">
        <f>SUM(F158:T158)</f>
        <v>15800</v>
      </c>
      <c r="E158" s="6" t="n"/>
      <c r="F158" s="57">
        <f>F72*(1-F$8)</f>
        <v>0</v>
      </c>
      <c r="G158" s="57">
        <f>G72*(1-G$8)</f>
        <v>0</v>
      </c>
      <c r="H158" s="57">
        <f>H72*(1-H$8)</f>
        <v>0</v>
      </c>
      <c r="I158" s="57">
        <f>I72*(1-I$8)</f>
        <v>0</v>
      </c>
      <c r="J158" s="57">
        <f>J72*(1-J$8)</f>
        <v>0</v>
      </c>
      <c r="K158" s="57">
        <f>K72*(1-K$8)</f>
        <v>0</v>
      </c>
      <c r="L158" s="57">
        <f>L72*(1-L$8)</f>
        <v>1800</v>
      </c>
      <c r="M158" s="57">
        <f>M72*(1-M$8)</f>
        <v>1800</v>
      </c>
      <c r="N158" s="57">
        <f>N72*(1-N$8)</f>
        <v>2600</v>
      </c>
      <c r="O158" s="57">
        <f>O72*(1-O$8)</f>
        <v>2600</v>
      </c>
      <c r="P158" s="57">
        <f>P72*(1-P$8)</f>
        <v>3500</v>
      </c>
      <c r="Q158" s="57">
        <f>Q72*(1-Q$8)</f>
        <v>3500</v>
      </c>
      <c r="R158" s="57">
        <f>R72*(1-R$8)</f>
        <v>0</v>
      </c>
      <c r="S158" s="57">
        <f>S72*(1-S$8)</f>
        <v>0</v>
      </c>
      <c r="T158" s="57">
        <f>T72*(1-T$8)</f>
        <v>0</v>
      </c>
    </row>
    <row r="159">
      <c r="B159" s="119" t="str">
        <f>Inputs!$B$57</f>
        <v>Approved changes</v>
      </c>
      <c r="C159" s="123" t="str">
        <f>Inputs!$C$57</f>
        <v>Changes</v>
      </c>
      <c r="D159" s="69">
        <f>SUM(F159:T159)</f>
        <v>59500</v>
      </c>
      <c r="E159" s="6" t="n"/>
      <c r="F159" s="57">
        <f>(F95+F96)*(1-F$8)</f>
        <v>0</v>
      </c>
      <c r="G159" s="57">
        <f>(G95+G96)*(1-G$8)</f>
        <v>0</v>
      </c>
      <c r="H159" s="57">
        <f>(H95+H96)*(1-H$8)</f>
        <v>0</v>
      </c>
      <c r="I159" s="57">
        <f>(I95+I96)*(1-I$8)</f>
        <v>0</v>
      </c>
      <c r="J159" s="57">
        <f>(J95+J96)*(1-J$8)</f>
        <v>0</v>
      </c>
      <c r="K159" s="57">
        <f>(K95+K96)*(1-K$8)</f>
        <v>0</v>
      </c>
      <c r="L159" s="57">
        <f>(L95+L96)*(1-L$8)</f>
        <v>0</v>
      </c>
      <c r="M159" s="57">
        <f>(M95+M96)*(1-M$8)</f>
        <v>38000</v>
      </c>
      <c r="N159" s="57">
        <f>(N95+N96)*(1-N$8)</f>
        <v>21500</v>
      </c>
      <c r="O159" s="57">
        <f>(O95+O96)*(1-O$8)</f>
        <v>0</v>
      </c>
      <c r="P159" s="57">
        <f>(P95+P96)*(1-P$8)</f>
        <v>0</v>
      </c>
      <c r="Q159" s="57">
        <f>(Q95+Q96)*(1-Q$8)</f>
        <v>0</v>
      </c>
      <c r="R159" s="57">
        <f>(R95+R96)*(1-R$8)</f>
        <v>0</v>
      </c>
      <c r="S159" s="57">
        <f>(S95+S96)*(1-S$8)</f>
        <v>0</v>
      </c>
      <c r="T159" s="57">
        <f>(T95+T96)*(1-T$8)</f>
        <v>0</v>
      </c>
    </row>
    <row r="160">
      <c r="B160" s="60" t="inlineStr">
        <is>
          <t>Forecast</t>
        </is>
      </c>
      <c r="C160" s="75" t="n"/>
      <c r="D160" s="61">
        <f>SUM(D143:D159)</f>
        <v>1044320</v>
      </c>
      <c r="E160" s="75" t="n"/>
      <c r="F160" s="61">
        <f>SUM(F143:F159)</f>
        <v>0</v>
      </c>
      <c r="G160" s="61">
        <f>SUM(G143:G159)</f>
        <v>0</v>
      </c>
      <c r="H160" s="61">
        <f>SUM(H143:H159)</f>
        <v>0</v>
      </c>
      <c r="I160" s="61">
        <f>SUM(I143:I159)</f>
        <v>0</v>
      </c>
      <c r="J160" s="61">
        <f>SUM(J143:J159)</f>
        <v>0</v>
      </c>
      <c r="K160" s="61">
        <f>SUM(K143:K159)</f>
        <v>0</v>
      </c>
      <c r="L160" s="61">
        <f>SUM(L143:L159)</f>
        <v>187245</v>
      </c>
      <c r="M160" s="61">
        <f>SUM(M143:M159)</f>
        <v>225245</v>
      </c>
      <c r="N160" s="61">
        <f>SUM(N143:N159)</f>
        <v>257770</v>
      </c>
      <c r="O160" s="61">
        <f>SUM(O143:O159)</f>
        <v>215970</v>
      </c>
      <c r="P160" s="61">
        <f>SUM(P143:P159)</f>
        <v>79045</v>
      </c>
      <c r="Q160" s="61">
        <f>SUM(Q143:Q159)</f>
        <v>79045</v>
      </c>
      <c r="R160" s="61">
        <f>SUM(R143:R159)</f>
        <v>0</v>
      </c>
      <c r="S160" s="61">
        <f>SUM(S143:S159)</f>
        <v>0</v>
      </c>
      <c r="T160" s="61">
        <f>SUM(T143:T159)</f>
        <v>0</v>
      </c>
    </row>
    <row r="161"/>
    <row r="162" ht="22" customHeight="1">
      <c r="B162" s="39" t="inlineStr">
        <is>
          <t>13  Actual + forecast by cost line</t>
        </is>
      </c>
      <c r="C162" s="40" t="n"/>
      <c r="D162" s="40" t="n"/>
      <c r="E162" s="40" t="n"/>
      <c r="F162" s="40" t="n"/>
      <c r="G162" s="40" t="n"/>
      <c r="H162" s="40" t="n"/>
      <c r="I162" s="40" t="n"/>
      <c r="J162" s="40" t="n"/>
      <c r="K162" s="40" t="n"/>
      <c r="L162" s="40" t="n"/>
      <c r="M162" s="40" t="n"/>
      <c r="N162" s="40" t="n"/>
      <c r="O162" s="40" t="n"/>
      <c r="P162" s="40" t="n"/>
      <c r="Q162" s="40" t="n"/>
      <c r="R162" s="40" t="n"/>
      <c r="S162" s="40" t="n"/>
      <c r="T162" s="40" t="n"/>
    </row>
    <row r="163">
      <c r="B163" s="41" t="inlineStr">
        <is>
          <t>What each line will have cost by the end: actuals so far, forecast after.</t>
        </is>
      </c>
    </row>
    <row r="164">
      <c r="B164" s="119" t="str">
        <f>Inputs!$B$41</f>
        <v>Product management</v>
      </c>
      <c r="C164" s="123" t="str">
        <f>Inputs!$C$41</f>
        <v>Team</v>
      </c>
      <c r="D164" s="69">
        <f>SUM(F164:T164)</f>
        <v>159500</v>
      </c>
      <c r="E164" s="6" t="n"/>
      <c r="F164" s="57">
        <f>F122+F143</f>
        <v>14500</v>
      </c>
      <c r="G164" s="57">
        <f>G122+G143</f>
        <v>14500</v>
      </c>
      <c r="H164" s="57">
        <f>H122+H143</f>
        <v>14500</v>
      </c>
      <c r="I164" s="57">
        <f>I122+I143</f>
        <v>14500</v>
      </c>
      <c r="J164" s="57">
        <f>J122+J143</f>
        <v>14500</v>
      </c>
      <c r="K164" s="57">
        <f>K122+K143</f>
        <v>14500</v>
      </c>
      <c r="L164" s="57">
        <f>L122+L143</f>
        <v>14500</v>
      </c>
      <c r="M164" s="57">
        <f>M122+M143</f>
        <v>14500</v>
      </c>
      <c r="N164" s="57">
        <f>N122+N143</f>
        <v>14500</v>
      </c>
      <c r="O164" s="57">
        <f>O122+O143</f>
        <v>14500</v>
      </c>
      <c r="P164" s="57">
        <f>P122+P143</f>
        <v>7250</v>
      </c>
      <c r="Q164" s="57">
        <f>Q122+Q143</f>
        <v>7250</v>
      </c>
      <c r="R164" s="57">
        <f>R122+R143</f>
        <v>0</v>
      </c>
      <c r="S164" s="57">
        <f>S122+S143</f>
        <v>0</v>
      </c>
      <c r="T164" s="57">
        <f>T122+T143</f>
        <v>0</v>
      </c>
    </row>
    <row r="165">
      <c r="B165" s="119" t="str">
        <f>Inputs!$B$42</f>
        <v>Product design</v>
      </c>
      <c r="C165" s="123" t="str">
        <f>Inputs!$C$42</f>
        <v>Team</v>
      </c>
      <c r="D165" s="69">
        <f>SUM(F165:T165)</f>
        <v>121875</v>
      </c>
      <c r="E165" s="6" t="n"/>
      <c r="F165" s="57">
        <f>F123+F144</f>
        <v>12500</v>
      </c>
      <c r="G165" s="57">
        <f>G123+G144</f>
        <v>18750</v>
      </c>
      <c r="H165" s="57">
        <f>H123+H144</f>
        <v>25000</v>
      </c>
      <c r="I165" s="57">
        <f>I123+I144</f>
        <v>9375</v>
      </c>
      <c r="J165" s="57">
        <f>J123+J144</f>
        <v>9375</v>
      </c>
      <c r="K165" s="57">
        <f>K123+K144</f>
        <v>9375</v>
      </c>
      <c r="L165" s="57">
        <f>L123+L144</f>
        <v>9375</v>
      </c>
      <c r="M165" s="57">
        <f>M123+M144</f>
        <v>9375</v>
      </c>
      <c r="N165" s="57">
        <f>N123+N144</f>
        <v>6250</v>
      </c>
      <c r="O165" s="57">
        <f>O123+O144</f>
        <v>6250</v>
      </c>
      <c r="P165" s="57">
        <f>P123+P144</f>
        <v>3125</v>
      </c>
      <c r="Q165" s="57">
        <f>Q123+Q144</f>
        <v>3125</v>
      </c>
      <c r="R165" s="57">
        <f>R123+R144</f>
        <v>0</v>
      </c>
      <c r="S165" s="57">
        <f>S123+S144</f>
        <v>0</v>
      </c>
      <c r="T165" s="57">
        <f>T123+T144</f>
        <v>0</v>
      </c>
    </row>
    <row r="166">
      <c r="B166" s="119" t="str">
        <f>Inputs!$B$43</f>
        <v>iOS development</v>
      </c>
      <c r="C166" s="123" t="str">
        <f>Inputs!$C$43</f>
        <v>Team</v>
      </c>
      <c r="D166" s="69">
        <f>SUM(F166:T166)</f>
        <v>223860</v>
      </c>
      <c r="E166" s="6" t="n"/>
      <c r="F166" s="57">
        <f>F124+F145</f>
        <v>0</v>
      </c>
      <c r="G166" s="57">
        <f>G124+G145</f>
        <v>6240</v>
      </c>
      <c r="H166" s="57">
        <f>H124+H145</f>
        <v>7020</v>
      </c>
      <c r="I166" s="57">
        <f>I124+I145</f>
        <v>27300</v>
      </c>
      <c r="J166" s="57">
        <f>J124+J145</f>
        <v>28080</v>
      </c>
      <c r="K166" s="57">
        <f>K124+K145</f>
        <v>28860</v>
      </c>
      <c r="L166" s="57">
        <f>L124+L145</f>
        <v>28080</v>
      </c>
      <c r="M166" s="57">
        <f>M124+M145</f>
        <v>28080</v>
      </c>
      <c r="N166" s="57">
        <f>N124+N145</f>
        <v>28080</v>
      </c>
      <c r="O166" s="57">
        <f>O124+O145</f>
        <v>28080</v>
      </c>
      <c r="P166" s="57">
        <f>P124+P145</f>
        <v>7020</v>
      </c>
      <c r="Q166" s="57">
        <f>Q124+Q145</f>
        <v>7020</v>
      </c>
      <c r="R166" s="57">
        <f>R124+R145</f>
        <v>0</v>
      </c>
      <c r="S166" s="57">
        <f>S124+S145</f>
        <v>0</v>
      </c>
      <c r="T166" s="57">
        <f>T124+T145</f>
        <v>0</v>
      </c>
    </row>
    <row r="167">
      <c r="B167" s="119" t="str">
        <f>Inputs!$B$44</f>
        <v>Android development</v>
      </c>
      <c r="C167" s="123" t="str">
        <f>Inputs!$C$44</f>
        <v>Team</v>
      </c>
      <c r="D167" s="69">
        <f>SUM(F167:T167)</f>
        <v>259920</v>
      </c>
      <c r="E167" s="6" t="n"/>
      <c r="F167" s="57">
        <f>F125+F146</f>
        <v>0</v>
      </c>
      <c r="G167" s="57">
        <f>G125+G146</f>
        <v>6840</v>
      </c>
      <c r="H167" s="57">
        <f>H125+H146</f>
        <v>6840</v>
      </c>
      <c r="I167" s="57">
        <f>I125+I146</f>
        <v>27360</v>
      </c>
      <c r="J167" s="57">
        <f>J125+J146</f>
        <v>34200</v>
      </c>
      <c r="K167" s="57">
        <f>K125+K146</f>
        <v>34200</v>
      </c>
      <c r="L167" s="57">
        <f>L125+L146</f>
        <v>34200</v>
      </c>
      <c r="M167" s="57">
        <f>M125+M146</f>
        <v>34200</v>
      </c>
      <c r="N167" s="57">
        <f>N125+N146</f>
        <v>34200</v>
      </c>
      <c r="O167" s="57">
        <f>O125+O146</f>
        <v>34200</v>
      </c>
      <c r="P167" s="57">
        <f>P125+P146</f>
        <v>6840</v>
      </c>
      <c r="Q167" s="57">
        <f>Q125+Q146</f>
        <v>6840</v>
      </c>
      <c r="R167" s="57">
        <f>R125+R146</f>
        <v>0</v>
      </c>
      <c r="S167" s="57">
        <f>S125+S146</f>
        <v>0</v>
      </c>
      <c r="T167" s="57">
        <f>T125+T146</f>
        <v>0</v>
      </c>
    </row>
    <row r="168">
      <c r="B168" s="119" t="str">
        <f>Inputs!$B$45</f>
        <v>Backend &amp; integrations</v>
      </c>
      <c r="C168" s="123" t="str">
        <f>Inputs!$C$45</f>
        <v>Team</v>
      </c>
      <c r="D168" s="69">
        <f>SUM(F168:T168)</f>
        <v>329000</v>
      </c>
      <c r="E168" s="6" t="n"/>
      <c r="F168" s="57">
        <f>F126+F147</f>
        <v>7000</v>
      </c>
      <c r="G168" s="57">
        <f>G126+G147</f>
        <v>14000</v>
      </c>
      <c r="H168" s="57">
        <f>H126+H147</f>
        <v>14000</v>
      </c>
      <c r="I168" s="57">
        <f>I126+I147</f>
        <v>42000</v>
      </c>
      <c r="J168" s="57">
        <f>J126+J147</f>
        <v>42000</v>
      </c>
      <c r="K168" s="57">
        <f>K126+K147</f>
        <v>42000</v>
      </c>
      <c r="L168" s="57">
        <f>L126+L147</f>
        <v>42000</v>
      </c>
      <c r="M168" s="57">
        <f>M126+M147</f>
        <v>42000</v>
      </c>
      <c r="N168" s="57">
        <f>N126+N147</f>
        <v>28000</v>
      </c>
      <c r="O168" s="57">
        <f>O126+O147</f>
        <v>28000</v>
      </c>
      <c r="P168" s="57">
        <f>P126+P147</f>
        <v>14000</v>
      </c>
      <c r="Q168" s="57">
        <f>Q126+Q147</f>
        <v>14000</v>
      </c>
      <c r="R168" s="57">
        <f>R126+R147</f>
        <v>0</v>
      </c>
      <c r="S168" s="57">
        <f>S126+S147</f>
        <v>0</v>
      </c>
      <c r="T168" s="57">
        <f>T126+T147</f>
        <v>0</v>
      </c>
    </row>
    <row r="169">
      <c r="B169" s="119" t="str">
        <f>Inputs!$B$46</f>
        <v>Quality assurance</v>
      </c>
      <c r="C169" s="123" t="str">
        <f>Inputs!$C$46</f>
        <v>Team</v>
      </c>
      <c r="D169" s="69">
        <f>SUM(F169:T169)</f>
        <v>147660</v>
      </c>
      <c r="E169" s="6" t="n"/>
      <c r="F169" s="57">
        <f>F127+F148</f>
        <v>0</v>
      </c>
      <c r="G169" s="57">
        <f>G127+G148</f>
        <v>0</v>
      </c>
      <c r="H169" s="57">
        <f>H127+H148</f>
        <v>0</v>
      </c>
      <c r="I169" s="57">
        <f>I127+I148</f>
        <v>15120</v>
      </c>
      <c r="J169" s="57">
        <f>J127+J148</f>
        <v>16800</v>
      </c>
      <c r="K169" s="57">
        <f>K127+K148</f>
        <v>20160</v>
      </c>
      <c r="L169" s="57">
        <f>L127+L148</f>
        <v>21240</v>
      </c>
      <c r="M169" s="57">
        <f>M127+M148</f>
        <v>21240</v>
      </c>
      <c r="N169" s="57">
        <f>N127+N148</f>
        <v>21240</v>
      </c>
      <c r="O169" s="57">
        <f>O127+O148</f>
        <v>21240</v>
      </c>
      <c r="P169" s="57">
        <f>P127+P148</f>
        <v>5310</v>
      </c>
      <c r="Q169" s="57">
        <f>Q127+Q148</f>
        <v>5310</v>
      </c>
      <c r="R169" s="57">
        <f>R127+R148</f>
        <v>0</v>
      </c>
      <c r="S169" s="57">
        <f>S127+S148</f>
        <v>0</v>
      </c>
      <c r="T169" s="57">
        <f>T127+T148</f>
        <v>0</v>
      </c>
    </row>
    <row r="170">
      <c r="B170" s="119" t="str">
        <f>Inputs!$B$47</f>
        <v>Cloud &amp; DevOps</v>
      </c>
      <c r="C170" s="123" t="str">
        <f>Inputs!$C$47</f>
        <v>Team</v>
      </c>
      <c r="D170" s="69">
        <f>SUM(F170:T170)</f>
        <v>94250</v>
      </c>
      <c r="E170" s="6" t="n"/>
      <c r="F170" s="57">
        <f>F128+F149</f>
        <v>3625</v>
      </c>
      <c r="G170" s="57">
        <f>G128+G149</f>
        <v>3625</v>
      </c>
      <c r="H170" s="57">
        <f>H128+H149</f>
        <v>3625</v>
      </c>
      <c r="I170" s="57">
        <f>I128+I149</f>
        <v>7250</v>
      </c>
      <c r="J170" s="57">
        <f>J128+J149</f>
        <v>7250</v>
      </c>
      <c r="K170" s="57">
        <f>K128+K149</f>
        <v>10875</v>
      </c>
      <c r="L170" s="57">
        <f>L128+L149</f>
        <v>7250</v>
      </c>
      <c r="M170" s="57">
        <f>M128+M149</f>
        <v>7250</v>
      </c>
      <c r="N170" s="57">
        <f>N128+N149</f>
        <v>14500</v>
      </c>
      <c r="O170" s="57">
        <f>O128+O149</f>
        <v>14500</v>
      </c>
      <c r="P170" s="57">
        <f>P128+P149</f>
        <v>7250</v>
      </c>
      <c r="Q170" s="57">
        <f>Q128+Q149</f>
        <v>7250</v>
      </c>
      <c r="R170" s="57">
        <f>R128+R149</f>
        <v>0</v>
      </c>
      <c r="S170" s="57">
        <f>S128+S149</f>
        <v>0</v>
      </c>
      <c r="T170" s="57">
        <f>T128+T149</f>
        <v>0</v>
      </c>
    </row>
    <row r="171">
      <c r="B171" s="119" t="str">
        <f>Inputs!$B$48</f>
        <v>Engineering lead</v>
      </c>
      <c r="C171" s="123" t="str">
        <f>Inputs!$C$48</f>
        <v>Team</v>
      </c>
      <c r="D171" s="69">
        <f>SUM(F171:T171)</f>
        <v>173250</v>
      </c>
      <c r="E171" s="6" t="n"/>
      <c r="F171" s="57">
        <f>F129+F150</f>
        <v>8250</v>
      </c>
      <c r="G171" s="57">
        <f>G129+G150</f>
        <v>16500</v>
      </c>
      <c r="H171" s="57">
        <f>H129+H150</f>
        <v>16500</v>
      </c>
      <c r="I171" s="57">
        <f>I129+I150</f>
        <v>16500</v>
      </c>
      <c r="J171" s="57">
        <f>J129+J150</f>
        <v>16500</v>
      </c>
      <c r="K171" s="57">
        <f>K129+K150</f>
        <v>16500</v>
      </c>
      <c r="L171" s="57">
        <f>L129+L150</f>
        <v>16500</v>
      </c>
      <c r="M171" s="57">
        <f>M129+M150</f>
        <v>16500</v>
      </c>
      <c r="N171" s="57">
        <f>N129+N150</f>
        <v>16500</v>
      </c>
      <c r="O171" s="57">
        <f>O129+O150</f>
        <v>16500</v>
      </c>
      <c r="P171" s="57">
        <f>P129+P150</f>
        <v>8250</v>
      </c>
      <c r="Q171" s="57">
        <f>Q129+Q150</f>
        <v>8250</v>
      </c>
      <c r="R171" s="57">
        <f>R129+R150</f>
        <v>0</v>
      </c>
      <c r="S171" s="57">
        <f>S129+S150</f>
        <v>0</v>
      </c>
      <c r="T171" s="57">
        <f>T129+T150</f>
        <v>0</v>
      </c>
    </row>
    <row r="172">
      <c r="B172" s="119" t="str">
        <f>Inputs!$B$49</f>
        <v>User research &amp; testing</v>
      </c>
      <c r="C172" s="123" t="str">
        <f>Inputs!$C$49</f>
        <v>Purchases</v>
      </c>
      <c r="D172" s="69">
        <f>SUM(F172:T172)</f>
        <v>42000</v>
      </c>
      <c r="E172" s="6" t="n"/>
      <c r="F172" s="57">
        <f>F130+F151</f>
        <v>0</v>
      </c>
      <c r="G172" s="57">
        <f>G130+G151</f>
        <v>24000</v>
      </c>
      <c r="H172" s="57">
        <f>H130+H151</f>
        <v>0</v>
      </c>
      <c r="I172" s="57">
        <f>I130+I151</f>
        <v>0</v>
      </c>
      <c r="J172" s="57">
        <f>J130+J151</f>
        <v>0</v>
      </c>
      <c r="K172" s="57">
        <f>K130+K151</f>
        <v>0</v>
      </c>
      <c r="L172" s="57">
        <f>L130+L151</f>
        <v>0</v>
      </c>
      <c r="M172" s="57">
        <f>M130+M151</f>
        <v>0</v>
      </c>
      <c r="N172" s="57">
        <f>N130+N151</f>
        <v>18000</v>
      </c>
      <c r="O172" s="57">
        <f>O130+O151</f>
        <v>0</v>
      </c>
      <c r="P172" s="57">
        <f>P130+P151</f>
        <v>0</v>
      </c>
      <c r="Q172" s="57">
        <f>Q130+Q151</f>
        <v>0</v>
      </c>
      <c r="R172" s="57">
        <f>R130+R151</f>
        <v>0</v>
      </c>
      <c r="S172" s="57">
        <f>S130+S151</f>
        <v>0</v>
      </c>
      <c r="T172" s="57">
        <f>T130+T151</f>
        <v>0</v>
      </c>
    </row>
    <row r="173">
      <c r="B173" s="119" t="str">
        <f>Inputs!$B$50</f>
        <v>Security &amp; accessibility</v>
      </c>
      <c r="C173" s="123" t="str">
        <f>Inputs!$C$50</f>
        <v>Purchases</v>
      </c>
      <c r="D173" s="69">
        <f>SUM(F173:T173)</f>
        <v>48500</v>
      </c>
      <c r="E173" s="6" t="n"/>
      <c r="F173" s="57">
        <f>F131+F152</f>
        <v>0</v>
      </c>
      <c r="G173" s="57">
        <f>G131+G152</f>
        <v>0</v>
      </c>
      <c r="H173" s="57">
        <f>H131+H152</f>
        <v>0</v>
      </c>
      <c r="I173" s="57">
        <f>I131+I152</f>
        <v>0</v>
      </c>
      <c r="J173" s="57">
        <f>J131+J152</f>
        <v>0</v>
      </c>
      <c r="K173" s="57">
        <f>K131+K152</f>
        <v>0</v>
      </c>
      <c r="L173" s="57">
        <f>L131+L152</f>
        <v>0</v>
      </c>
      <c r="M173" s="57">
        <f>M131+M152</f>
        <v>0</v>
      </c>
      <c r="N173" s="57">
        <f>N131+N152</f>
        <v>34500</v>
      </c>
      <c r="O173" s="57">
        <f>O131+O152</f>
        <v>14000</v>
      </c>
      <c r="P173" s="57">
        <f>P131+P152</f>
        <v>0</v>
      </c>
      <c r="Q173" s="57">
        <f>Q131+Q152</f>
        <v>0</v>
      </c>
      <c r="R173" s="57">
        <f>R131+R152</f>
        <v>0</v>
      </c>
      <c r="S173" s="57">
        <f>S131+S152</f>
        <v>0</v>
      </c>
      <c r="T173" s="57">
        <f>T131+T152</f>
        <v>0</v>
      </c>
    </row>
    <row r="174">
      <c r="B174" s="119" t="str">
        <f>Inputs!$B$51</f>
        <v>Payment certification</v>
      </c>
      <c r="C174" s="123" t="str">
        <f>Inputs!$C$51</f>
        <v>Purchases</v>
      </c>
      <c r="D174" s="69">
        <f>SUM(F174:T174)</f>
        <v>11200</v>
      </c>
      <c r="E174" s="6" t="n"/>
      <c r="F174" s="57">
        <f>F132+F153</f>
        <v>0</v>
      </c>
      <c r="G174" s="57">
        <f>G132+G153</f>
        <v>0</v>
      </c>
      <c r="H174" s="57">
        <f>H132+H153</f>
        <v>0</v>
      </c>
      <c r="I174" s="57">
        <f>I132+I153</f>
        <v>0</v>
      </c>
      <c r="J174" s="57">
        <f>J132+J153</f>
        <v>0</v>
      </c>
      <c r="K174" s="57">
        <f>K132+K153</f>
        <v>11200</v>
      </c>
      <c r="L174" s="57">
        <f>L132+L153</f>
        <v>0</v>
      </c>
      <c r="M174" s="57">
        <f>M132+M153</f>
        <v>0</v>
      </c>
      <c r="N174" s="57">
        <f>N132+N153</f>
        <v>0</v>
      </c>
      <c r="O174" s="57">
        <f>O132+O153</f>
        <v>0</v>
      </c>
      <c r="P174" s="57">
        <f>P132+P153</f>
        <v>0</v>
      </c>
      <c r="Q174" s="57">
        <f>Q132+Q153</f>
        <v>0</v>
      </c>
      <c r="R174" s="57">
        <f>R132+R153</f>
        <v>0</v>
      </c>
      <c r="S174" s="57">
        <f>S132+S153</f>
        <v>0</v>
      </c>
      <c r="T174" s="57">
        <f>T132+T153</f>
        <v>0</v>
      </c>
    </row>
    <row r="175">
      <c r="B175" s="119" t="str">
        <f>Inputs!$B$52</f>
        <v>Test devices</v>
      </c>
      <c r="C175" s="123" t="str">
        <f>Inputs!$C$52</f>
        <v>Purchases</v>
      </c>
      <c r="D175" s="69">
        <f>SUM(F175:T175)</f>
        <v>21040</v>
      </c>
      <c r="E175" s="6" t="n"/>
      <c r="F175" s="57">
        <f>F133+F154</f>
        <v>0</v>
      </c>
      <c r="G175" s="57">
        <f>G133+G154</f>
        <v>0</v>
      </c>
      <c r="H175" s="57">
        <f>H133+H154</f>
        <v>0</v>
      </c>
      <c r="I175" s="57">
        <f>I133+I154</f>
        <v>17240</v>
      </c>
      <c r="J175" s="57">
        <f>J133+J154</f>
        <v>0</v>
      </c>
      <c r="K175" s="57">
        <f>K133+K154</f>
        <v>0</v>
      </c>
      <c r="L175" s="57">
        <f>L133+L154</f>
        <v>0</v>
      </c>
      <c r="M175" s="57">
        <f>M133+M154</f>
        <v>0</v>
      </c>
      <c r="N175" s="57">
        <f>N133+N154</f>
        <v>3800</v>
      </c>
      <c r="O175" s="57">
        <f>O133+O154</f>
        <v>0</v>
      </c>
      <c r="P175" s="57">
        <f>P133+P154</f>
        <v>0</v>
      </c>
      <c r="Q175" s="57">
        <f>Q133+Q154</f>
        <v>0</v>
      </c>
      <c r="R175" s="57">
        <f>R133+R154</f>
        <v>0</v>
      </c>
      <c r="S175" s="57">
        <f>S133+S154</f>
        <v>0</v>
      </c>
      <c r="T175" s="57">
        <f>T133+T154</f>
        <v>0</v>
      </c>
    </row>
    <row r="176">
      <c r="B176" s="119" t="str">
        <f>Inputs!$B$53</f>
        <v>Launch content</v>
      </c>
      <c r="C176" s="123" t="str">
        <f>Inputs!$C$53</f>
        <v>Purchases</v>
      </c>
      <c r="D176" s="69">
        <f>SUM(F176:T176)</f>
        <v>22000</v>
      </c>
      <c r="E176" s="6" t="n"/>
      <c r="F176" s="57">
        <f>F134+F155</f>
        <v>0</v>
      </c>
      <c r="G176" s="57">
        <f>G134+G155</f>
        <v>0</v>
      </c>
      <c r="H176" s="57">
        <f>H134+H155</f>
        <v>0</v>
      </c>
      <c r="I176" s="57">
        <f>I134+I155</f>
        <v>0</v>
      </c>
      <c r="J176" s="57">
        <f>J134+J155</f>
        <v>0</v>
      </c>
      <c r="K176" s="57">
        <f>K134+K155</f>
        <v>0</v>
      </c>
      <c r="L176" s="57">
        <f>L134+L155</f>
        <v>0</v>
      </c>
      <c r="M176" s="57">
        <f>M134+M155</f>
        <v>0</v>
      </c>
      <c r="N176" s="57">
        <f>N134+N155</f>
        <v>0</v>
      </c>
      <c r="O176" s="57">
        <f>O134+O155</f>
        <v>22000</v>
      </c>
      <c r="P176" s="57">
        <f>P134+P155</f>
        <v>0</v>
      </c>
      <c r="Q176" s="57">
        <f>Q134+Q155</f>
        <v>0</v>
      </c>
      <c r="R176" s="57">
        <f>R134+R155</f>
        <v>0</v>
      </c>
      <c r="S176" s="57">
        <f>S134+S155</f>
        <v>0</v>
      </c>
      <c r="T176" s="57">
        <f>T134+T155</f>
        <v>0</v>
      </c>
    </row>
    <row r="177">
      <c r="B177" s="119" t="str">
        <f>Inputs!$B$54</f>
        <v>Cloud hosting</v>
      </c>
      <c r="C177" s="123" t="str">
        <f>Inputs!$C$54</f>
        <v>Platform</v>
      </c>
      <c r="D177" s="69">
        <f>SUM(F177:T177)</f>
        <v>83100</v>
      </c>
      <c r="E177" s="6" t="n"/>
      <c r="F177" s="57">
        <f>F135+F156</f>
        <v>380</v>
      </c>
      <c r="G177" s="57">
        <f>G135+G156</f>
        <v>1140</v>
      </c>
      <c r="H177" s="57">
        <f>H135+H156</f>
        <v>1260</v>
      </c>
      <c r="I177" s="57">
        <f>I135+I156</f>
        <v>6120</v>
      </c>
      <c r="J177" s="57">
        <f>J135+J156</f>
        <v>6940</v>
      </c>
      <c r="K177" s="57">
        <f>K135+K156</f>
        <v>9860</v>
      </c>
      <c r="L177" s="57">
        <f>L135+L156</f>
        <v>7200</v>
      </c>
      <c r="M177" s="57">
        <f>M135+M156</f>
        <v>7200</v>
      </c>
      <c r="N177" s="57">
        <f>N135+N156</f>
        <v>9000</v>
      </c>
      <c r="O177" s="57">
        <f>O135+O156</f>
        <v>9000</v>
      </c>
      <c r="P177" s="57">
        <f>P135+P156</f>
        <v>12500</v>
      </c>
      <c r="Q177" s="57">
        <f>Q135+Q156</f>
        <v>12500</v>
      </c>
      <c r="R177" s="57">
        <f>R135+R156</f>
        <v>0</v>
      </c>
      <c r="S177" s="57">
        <f>S135+S156</f>
        <v>0</v>
      </c>
      <c r="T177" s="57">
        <f>T135+T156</f>
        <v>0</v>
      </c>
    </row>
    <row r="178">
      <c r="B178" s="119" t="str">
        <f>Inputs!$B$55</f>
        <v>Software &amp; tools</v>
      </c>
      <c r="C178" s="123" t="str">
        <f>Inputs!$C$55</f>
        <v>Platform</v>
      </c>
      <c r="D178" s="69">
        <f>SUM(F178:T178)</f>
        <v>52170</v>
      </c>
      <c r="E178" s="6" t="n"/>
      <c r="F178" s="57">
        <f>F136+F157</f>
        <v>1800</v>
      </c>
      <c r="G178" s="57">
        <f>G136+G157</f>
        <v>3350</v>
      </c>
      <c r="H178" s="57">
        <f>H136+H157</f>
        <v>3200</v>
      </c>
      <c r="I178" s="57">
        <f>I136+I157</f>
        <v>5400</v>
      </c>
      <c r="J178" s="57">
        <f>J136+J157</f>
        <v>4920</v>
      </c>
      <c r="K178" s="57">
        <f>K136+K157</f>
        <v>5100</v>
      </c>
      <c r="L178" s="57">
        <f>L136+L157</f>
        <v>5100</v>
      </c>
      <c r="M178" s="57">
        <f>M136+M157</f>
        <v>5100</v>
      </c>
      <c r="N178" s="57">
        <f>N136+N157</f>
        <v>5100</v>
      </c>
      <c r="O178" s="57">
        <f>O136+O157</f>
        <v>5100</v>
      </c>
      <c r="P178" s="57">
        <f>P136+P157</f>
        <v>4000</v>
      </c>
      <c r="Q178" s="57">
        <f>Q136+Q157</f>
        <v>4000</v>
      </c>
      <c r="R178" s="57">
        <f>R136+R157</f>
        <v>0</v>
      </c>
      <c r="S178" s="57">
        <f>S136+S157</f>
        <v>0</v>
      </c>
      <c r="T178" s="57">
        <f>T136+T157</f>
        <v>0</v>
      </c>
    </row>
    <row r="179">
      <c r="B179" s="119" t="str">
        <f>Inputs!$B$56</f>
        <v>Third-party services</v>
      </c>
      <c r="C179" s="123" t="str">
        <f>Inputs!$C$56</f>
        <v>Platform</v>
      </c>
      <c r="D179" s="69">
        <f>SUM(F179:T179)</f>
        <v>22030</v>
      </c>
      <c r="E179" s="6" t="n"/>
      <c r="F179" s="57">
        <f>F137+F158</f>
        <v>0</v>
      </c>
      <c r="G179" s="57">
        <f>G137+G158</f>
        <v>210</v>
      </c>
      <c r="H179" s="57">
        <f>H137+H158</f>
        <v>340</v>
      </c>
      <c r="I179" s="57">
        <f>I137+I158</f>
        <v>1450</v>
      </c>
      <c r="J179" s="57">
        <f>J137+J158</f>
        <v>1920</v>
      </c>
      <c r="K179" s="57">
        <f>K137+K158</f>
        <v>2310</v>
      </c>
      <c r="L179" s="57">
        <f>L137+L158</f>
        <v>1800</v>
      </c>
      <c r="M179" s="57">
        <f>M137+M158</f>
        <v>1800</v>
      </c>
      <c r="N179" s="57">
        <f>N137+N158</f>
        <v>2600</v>
      </c>
      <c r="O179" s="57">
        <f>O137+O158</f>
        <v>2600</v>
      </c>
      <c r="P179" s="57">
        <f>P137+P158</f>
        <v>3500</v>
      </c>
      <c r="Q179" s="57">
        <f>Q137+Q158</f>
        <v>3500</v>
      </c>
      <c r="R179" s="57">
        <f>R137+R158</f>
        <v>0</v>
      </c>
      <c r="S179" s="57">
        <f>S137+S158</f>
        <v>0</v>
      </c>
      <c r="T179" s="57">
        <f>T137+T158</f>
        <v>0</v>
      </c>
    </row>
    <row r="180">
      <c r="B180" s="119" t="str">
        <f>Inputs!$B$57</f>
        <v>Approved changes</v>
      </c>
      <c r="C180" s="123" t="str">
        <f>Inputs!$C$57</f>
        <v>Changes</v>
      </c>
      <c r="D180" s="69">
        <f>SUM(F180:T180)</f>
        <v>59500</v>
      </c>
      <c r="E180" s="6" t="n"/>
      <c r="F180" s="57">
        <f>F138+F159</f>
        <v>0</v>
      </c>
      <c r="G180" s="57">
        <f>G138+G159</f>
        <v>0</v>
      </c>
      <c r="H180" s="57">
        <f>H138+H159</f>
        <v>0</v>
      </c>
      <c r="I180" s="57">
        <f>I138+I159</f>
        <v>0</v>
      </c>
      <c r="J180" s="57">
        <f>J138+J159</f>
        <v>0</v>
      </c>
      <c r="K180" s="57">
        <f>K138+K159</f>
        <v>0</v>
      </c>
      <c r="L180" s="57">
        <f>L138+L159</f>
        <v>0</v>
      </c>
      <c r="M180" s="57">
        <f>M138+M159</f>
        <v>38000</v>
      </c>
      <c r="N180" s="57">
        <f>N138+N159</f>
        <v>21500</v>
      </c>
      <c r="O180" s="57">
        <f>O138+O159</f>
        <v>0</v>
      </c>
      <c r="P180" s="57">
        <f>P138+P159</f>
        <v>0</v>
      </c>
      <c r="Q180" s="57">
        <f>Q138+Q159</f>
        <v>0</v>
      </c>
      <c r="R180" s="57">
        <f>R138+R159</f>
        <v>0</v>
      </c>
      <c r="S180" s="57">
        <f>S138+S159</f>
        <v>0</v>
      </c>
      <c r="T180" s="57">
        <f>T138+T159</f>
        <v>0</v>
      </c>
    </row>
    <row r="181">
      <c r="B181" s="60" t="inlineStr">
        <is>
          <t>Actual + forecast</t>
        </is>
      </c>
      <c r="C181" s="75" t="n"/>
      <c r="D181" s="61">
        <f>SUM(D164:D180)</f>
        <v>1870855</v>
      </c>
      <c r="E181" s="75" t="n"/>
      <c r="F181" s="61">
        <f>SUM(F164:F180)</f>
        <v>48055</v>
      </c>
      <c r="G181" s="61">
        <f>SUM(G164:G180)</f>
        <v>109155</v>
      </c>
      <c r="H181" s="61">
        <f>SUM(H164:H180)</f>
        <v>92285</v>
      </c>
      <c r="I181" s="61">
        <f>SUM(I164:I180)</f>
        <v>189615</v>
      </c>
      <c r="J181" s="61">
        <f>SUM(J164:J180)</f>
        <v>182485</v>
      </c>
      <c r="K181" s="61">
        <f>SUM(K164:K180)</f>
        <v>204940</v>
      </c>
      <c r="L181" s="61">
        <f>SUM(L164:L180)</f>
        <v>187245</v>
      </c>
      <c r="M181" s="61">
        <f>SUM(M164:M180)</f>
        <v>225245</v>
      </c>
      <c r="N181" s="61">
        <f>SUM(N164:N180)</f>
        <v>257770</v>
      </c>
      <c r="O181" s="61">
        <f>SUM(O164:O180)</f>
        <v>215970</v>
      </c>
      <c r="P181" s="61">
        <f>SUM(P164:P180)</f>
        <v>79045</v>
      </c>
      <c r="Q181" s="61">
        <f>SUM(Q164:Q180)</f>
        <v>79045</v>
      </c>
      <c r="R181" s="61">
        <f>SUM(R164:R180)</f>
        <v>0</v>
      </c>
      <c r="S181" s="61">
        <f>SUM(S164:S180)</f>
        <v>0</v>
      </c>
      <c r="T181" s="61">
        <f>SUM(T164:T180)</f>
        <v>0</v>
      </c>
    </row>
    <row r="182"/>
    <row r="183" ht="22" customHeight="1">
      <c r="B183" s="39" t="inlineStr">
        <is>
          <t>14  Cumulative</t>
        </is>
      </c>
      <c r="C183" s="40" t="n"/>
      <c r="D183" s="40" t="n"/>
      <c r="E183" s="40" t="n"/>
      <c r="F183" s="40" t="n"/>
      <c r="G183" s="40" t="n"/>
      <c r="H183" s="40" t="n"/>
      <c r="I183" s="40" t="n"/>
      <c r="J183" s="40" t="n"/>
      <c r="K183" s="40" t="n"/>
      <c r="L183" s="40" t="n"/>
      <c r="M183" s="40" t="n"/>
      <c r="N183" s="40" t="n"/>
      <c r="O183" s="40" t="n"/>
      <c r="P183" s="40" t="n"/>
      <c r="Q183" s="40" t="n"/>
      <c r="R183" s="40" t="n"/>
      <c r="S183" s="40" t="n"/>
      <c r="T183" s="40" t="n"/>
    </row>
    <row r="184">
      <c r="B184" s="13" t="inlineStr">
        <is>
          <t>Baseline plan, cumulative</t>
        </is>
      </c>
      <c r="C184" s="6" t="n"/>
      <c r="D184" s="6" t="n"/>
      <c r="E184" s="6" t="n"/>
      <c r="F184" s="57">
        <f>F118</f>
        <v>48075</v>
      </c>
      <c r="G184" s="57">
        <f>F184+G118</f>
        <v>164260</v>
      </c>
      <c r="H184" s="57">
        <f>G184+H118</f>
        <v>256445</v>
      </c>
      <c r="I184" s="57">
        <f>H184+I118</f>
        <v>448455</v>
      </c>
      <c r="J184" s="57">
        <f>I184+J118</f>
        <v>624465</v>
      </c>
      <c r="K184" s="57">
        <f>J184+K118</f>
        <v>809975</v>
      </c>
      <c r="L184" s="57">
        <f>K184+L118</f>
        <v>985985</v>
      </c>
      <c r="M184" s="57">
        <f>L184+M118</f>
        <v>1161995</v>
      </c>
      <c r="N184" s="57">
        <f>M184+N118</f>
        <v>1383345</v>
      </c>
      <c r="O184" s="57">
        <f>N184+O118</f>
        <v>1590695</v>
      </c>
      <c r="P184" s="57">
        <f>O184+P118</f>
        <v>1668970</v>
      </c>
      <c r="Q184" s="57">
        <f>P184+Q118</f>
        <v>1747245</v>
      </c>
      <c r="R184" s="57">
        <f>Q184+R118</f>
        <v>1747245</v>
      </c>
      <c r="S184" s="57">
        <f>R184+S118</f>
        <v>1747245</v>
      </c>
      <c r="T184" s="57">
        <f>S184+T118</f>
        <v>1747245</v>
      </c>
    </row>
    <row r="185">
      <c r="B185" s="13" t="inlineStr">
        <is>
          <t>Actual + forecast, cumulative</t>
        </is>
      </c>
      <c r="C185" s="6" t="n"/>
      <c r="D185" s="6" t="n"/>
      <c r="E185" s="6" t="n"/>
      <c r="F185" s="57">
        <f>F181</f>
        <v>48055</v>
      </c>
      <c r="G185" s="57">
        <f>F185+G181</f>
        <v>157210</v>
      </c>
      <c r="H185" s="57">
        <f>G185+H181</f>
        <v>249495</v>
      </c>
      <c r="I185" s="57">
        <f>H185+I181</f>
        <v>439110</v>
      </c>
      <c r="J185" s="57">
        <f>I185+J181</f>
        <v>621595</v>
      </c>
      <c r="K185" s="57">
        <f>J185+K181</f>
        <v>826535</v>
      </c>
      <c r="L185" s="57">
        <f>K185+L181</f>
        <v>1013780</v>
      </c>
      <c r="M185" s="57">
        <f>L185+M181</f>
        <v>1239025</v>
      </c>
      <c r="N185" s="57">
        <f>M185+N181</f>
        <v>1496795</v>
      </c>
      <c r="O185" s="57">
        <f>N185+O181</f>
        <v>1712765</v>
      </c>
      <c r="P185" s="57">
        <f>O185+P181</f>
        <v>1791810</v>
      </c>
      <c r="Q185" s="57">
        <f>P185+Q181</f>
        <v>1870855</v>
      </c>
      <c r="R185" s="57">
        <f>Q185+R181</f>
        <v>1870855</v>
      </c>
      <c r="S185" s="57">
        <f>R185+S181</f>
        <v>1870855</v>
      </c>
      <c r="T185" s="57">
        <f>S185+T181</f>
        <v>1870855</v>
      </c>
    </row>
    <row r="186"/>
    <row r="187" ht="22" customHeight="1">
      <c r="B187" s="39" t="inlineStr">
        <is>
          <t>15  Every booking by cost line</t>
        </is>
      </c>
      <c r="C187" s="40" t="n"/>
      <c r="D187" s="40" t="n"/>
      <c r="E187" s="40" t="n"/>
      <c r="F187" s="40" t="n"/>
      <c r="G187" s="40" t="n"/>
      <c r="H187" s="40" t="n"/>
      <c r="I187" s="40" t="n"/>
      <c r="J187" s="40" t="n"/>
      <c r="K187" s="40" t="n"/>
      <c r="L187" s="40" t="n"/>
      <c r="M187" s="40" t="n"/>
      <c r="N187" s="40" t="n"/>
      <c r="O187" s="40" t="n"/>
      <c r="P187" s="40" t="n"/>
      <c r="Q187" s="40" t="n"/>
      <c r="R187" s="40" t="n"/>
      <c r="S187" s="40" t="n"/>
      <c r="T187" s="40" t="n"/>
    </row>
    <row r="188">
      <c r="B188" s="41" t="inlineStr">
        <is>
          <t>All rows on Actuals, any month. Check 1 compares the total with the table's.</t>
        </is>
      </c>
    </row>
    <row r="189">
      <c r="B189" s="119" t="str">
        <f>Inputs!$B$41</f>
        <v>Product management</v>
      </c>
      <c r="C189" s="123" t="str">
        <f>Inputs!$C$41</f>
        <v>Team</v>
      </c>
      <c r="D189" s="76">
        <f>SUMIFS(Ledger[Amount],Ledger[Cost line],$B189)</f>
        <v>87000</v>
      </c>
      <c r="E189" s="6" t="n"/>
      <c r="F189" s="6" t="n"/>
      <c r="G189" s="6" t="n"/>
      <c r="H189" s="6" t="n"/>
      <c r="I189" s="6" t="n"/>
      <c r="J189" s="6" t="n"/>
      <c r="K189" s="6" t="n"/>
      <c r="L189" s="6" t="n"/>
      <c r="M189" s="6" t="n"/>
      <c r="N189" s="6" t="n"/>
      <c r="O189" s="6" t="n"/>
      <c r="P189" s="6" t="n"/>
      <c r="Q189" s="6" t="n"/>
      <c r="R189" s="6" t="n"/>
      <c r="S189" s="6" t="n"/>
      <c r="T189" s="6" t="n"/>
    </row>
    <row r="190">
      <c r="B190" s="119" t="str">
        <f>Inputs!$B$42</f>
        <v>Product design</v>
      </c>
      <c r="C190" s="123" t="str">
        <f>Inputs!$C$42</f>
        <v>Team</v>
      </c>
      <c r="D190" s="76">
        <f>SUMIFS(Ledger[Amount],Ledger[Cost line],$B190)</f>
        <v>84375</v>
      </c>
      <c r="E190" s="6" t="n"/>
      <c r="F190" s="6" t="n"/>
      <c r="G190" s="6" t="n"/>
      <c r="H190" s="6" t="n"/>
      <c r="I190" s="6" t="n"/>
      <c r="J190" s="6" t="n"/>
      <c r="K190" s="6" t="n"/>
      <c r="L190" s="6" t="n"/>
      <c r="M190" s="6" t="n"/>
      <c r="N190" s="6" t="n"/>
      <c r="O190" s="6" t="n"/>
      <c r="P190" s="6" t="n"/>
      <c r="Q190" s="6" t="n"/>
      <c r="R190" s="6" t="n"/>
      <c r="S190" s="6" t="n"/>
      <c r="T190" s="6" t="n"/>
    </row>
    <row r="191">
      <c r="B191" s="119" t="str">
        <f>Inputs!$B$43</f>
        <v>iOS development</v>
      </c>
      <c r="C191" s="123" t="str">
        <f>Inputs!$C$43</f>
        <v>Team</v>
      </c>
      <c r="D191" s="76">
        <f>SUMIFS(Ledger[Amount],Ledger[Cost line],$B191)</f>
        <v>97500</v>
      </c>
      <c r="E191" s="6" t="n"/>
      <c r="F191" s="6" t="n"/>
      <c r="G191" s="6" t="n"/>
      <c r="H191" s="6" t="n"/>
      <c r="I191" s="6" t="n"/>
      <c r="J191" s="6" t="n"/>
      <c r="K191" s="6" t="n"/>
      <c r="L191" s="6" t="n"/>
      <c r="M191" s="6" t="n"/>
      <c r="N191" s="6" t="n"/>
      <c r="O191" s="6" t="n"/>
      <c r="P191" s="6" t="n"/>
      <c r="Q191" s="6" t="n"/>
      <c r="R191" s="6" t="n"/>
      <c r="S191" s="6" t="n"/>
      <c r="T191" s="6" t="n"/>
    </row>
    <row r="192">
      <c r="B192" s="119" t="str">
        <f>Inputs!$B$44</f>
        <v>Android development</v>
      </c>
      <c r="C192" s="123" t="str">
        <f>Inputs!$C$44</f>
        <v>Team</v>
      </c>
      <c r="D192" s="76">
        <f>SUMIFS(Ledger[Amount],Ledger[Cost line],$B192)</f>
        <v>109440</v>
      </c>
      <c r="E192" s="6" t="n"/>
      <c r="F192" s="6" t="n"/>
      <c r="G192" s="6" t="n"/>
      <c r="H192" s="6" t="n"/>
      <c r="I192" s="6" t="n"/>
      <c r="J192" s="6" t="n"/>
      <c r="K192" s="6" t="n"/>
      <c r="L192" s="6" t="n"/>
      <c r="M192" s="6" t="n"/>
      <c r="N192" s="6" t="n"/>
      <c r="O192" s="6" t="n"/>
      <c r="P192" s="6" t="n"/>
      <c r="Q192" s="6" t="n"/>
      <c r="R192" s="6" t="n"/>
      <c r="S192" s="6" t="n"/>
      <c r="T192" s="6" t="n"/>
    </row>
    <row r="193">
      <c r="B193" s="119" t="str">
        <f>Inputs!$B$45</f>
        <v>Backend &amp; integrations</v>
      </c>
      <c r="C193" s="123" t="str">
        <f>Inputs!$C$45</f>
        <v>Team</v>
      </c>
      <c r="D193" s="76">
        <f>SUMIFS(Ledger[Amount],Ledger[Cost line],$B193)</f>
        <v>161000</v>
      </c>
      <c r="E193" s="6" t="n"/>
      <c r="F193" s="6" t="n"/>
      <c r="G193" s="6" t="n"/>
      <c r="H193" s="6" t="n"/>
      <c r="I193" s="6" t="n"/>
      <c r="J193" s="6" t="n"/>
      <c r="K193" s="6" t="n"/>
      <c r="L193" s="6" t="n"/>
      <c r="M193" s="6" t="n"/>
      <c r="N193" s="6" t="n"/>
      <c r="O193" s="6" t="n"/>
      <c r="P193" s="6" t="n"/>
      <c r="Q193" s="6" t="n"/>
      <c r="R193" s="6" t="n"/>
      <c r="S193" s="6" t="n"/>
      <c r="T193" s="6" t="n"/>
    </row>
    <row r="194">
      <c r="B194" s="119" t="str">
        <f>Inputs!$B$46</f>
        <v>Quality assurance</v>
      </c>
      <c r="C194" s="123" t="str">
        <f>Inputs!$C$46</f>
        <v>Team</v>
      </c>
      <c r="D194" s="76">
        <f>SUMIFS(Ledger[Amount],Ledger[Cost line],$B194)</f>
        <v>52080</v>
      </c>
      <c r="E194" s="6" t="n"/>
      <c r="F194" s="6" t="n"/>
      <c r="G194" s="6" t="n"/>
      <c r="H194" s="6" t="n"/>
      <c r="I194" s="6" t="n"/>
      <c r="J194" s="6" t="n"/>
      <c r="K194" s="6" t="n"/>
      <c r="L194" s="6" t="n"/>
      <c r="M194" s="6" t="n"/>
      <c r="N194" s="6" t="n"/>
      <c r="O194" s="6" t="n"/>
      <c r="P194" s="6" t="n"/>
      <c r="Q194" s="6" t="n"/>
      <c r="R194" s="6" t="n"/>
      <c r="S194" s="6" t="n"/>
      <c r="T194" s="6" t="n"/>
    </row>
    <row r="195">
      <c r="B195" s="119" t="str">
        <f>Inputs!$B$47</f>
        <v>Cloud &amp; DevOps</v>
      </c>
      <c r="C195" s="123" t="str">
        <f>Inputs!$C$47</f>
        <v>Team</v>
      </c>
      <c r="D195" s="76">
        <f>SUMIFS(Ledger[Amount],Ledger[Cost line],$B195)</f>
        <v>36250</v>
      </c>
      <c r="E195" s="6" t="n"/>
      <c r="F195" s="6" t="n"/>
      <c r="G195" s="6" t="n"/>
      <c r="H195" s="6" t="n"/>
      <c r="I195" s="6" t="n"/>
      <c r="J195" s="6" t="n"/>
      <c r="K195" s="6" t="n"/>
      <c r="L195" s="6" t="n"/>
      <c r="M195" s="6" t="n"/>
      <c r="N195" s="6" t="n"/>
      <c r="O195" s="6" t="n"/>
      <c r="P195" s="6" t="n"/>
      <c r="Q195" s="6" t="n"/>
      <c r="R195" s="6" t="n"/>
      <c r="S195" s="6" t="n"/>
      <c r="T195" s="6" t="n"/>
    </row>
    <row r="196">
      <c r="B196" s="119" t="str">
        <f>Inputs!$B$48</f>
        <v>Engineering lead</v>
      </c>
      <c r="C196" s="123" t="str">
        <f>Inputs!$C$48</f>
        <v>Team</v>
      </c>
      <c r="D196" s="76">
        <f>SUMIFS(Ledger[Amount],Ledger[Cost line],$B196)</f>
        <v>90750</v>
      </c>
      <c r="E196" s="6" t="n"/>
      <c r="F196" s="6" t="n"/>
      <c r="G196" s="6" t="n"/>
      <c r="H196" s="6" t="n"/>
      <c r="I196" s="6" t="n"/>
      <c r="J196" s="6" t="n"/>
      <c r="K196" s="6" t="n"/>
      <c r="L196" s="6" t="n"/>
      <c r="M196" s="6" t="n"/>
      <c r="N196" s="6" t="n"/>
      <c r="O196" s="6" t="n"/>
      <c r="P196" s="6" t="n"/>
      <c r="Q196" s="6" t="n"/>
      <c r="R196" s="6" t="n"/>
      <c r="S196" s="6" t="n"/>
      <c r="T196" s="6" t="n"/>
    </row>
    <row r="197">
      <c r="B197" s="119" t="str">
        <f>Inputs!$B$49</f>
        <v>User research &amp; testing</v>
      </c>
      <c r="C197" s="123" t="str">
        <f>Inputs!$C$49</f>
        <v>Purchases</v>
      </c>
      <c r="D197" s="76">
        <f>SUMIFS(Ledger[Amount],Ledger[Cost line],$B197)</f>
        <v>24000</v>
      </c>
      <c r="E197" s="6" t="n"/>
      <c r="F197" s="6" t="n"/>
      <c r="G197" s="6" t="n"/>
      <c r="H197" s="6" t="n"/>
      <c r="I197" s="6" t="n"/>
      <c r="J197" s="6" t="n"/>
      <c r="K197" s="6" t="n"/>
      <c r="L197" s="6" t="n"/>
      <c r="M197" s="6" t="n"/>
      <c r="N197" s="6" t="n"/>
      <c r="O197" s="6" t="n"/>
      <c r="P197" s="6" t="n"/>
      <c r="Q197" s="6" t="n"/>
      <c r="R197" s="6" t="n"/>
      <c r="S197" s="6" t="n"/>
      <c r="T197" s="6" t="n"/>
    </row>
    <row r="198">
      <c r="B198" s="119" t="str">
        <f>Inputs!$B$50</f>
        <v>Security &amp; accessibility</v>
      </c>
      <c r="C198" s="123" t="str">
        <f>Inputs!$C$50</f>
        <v>Purchases</v>
      </c>
      <c r="D198" s="76">
        <f>SUMIFS(Ledger[Amount],Ledger[Cost line],$B198)</f>
        <v>0</v>
      </c>
      <c r="E198" s="6" t="n"/>
      <c r="F198" s="6" t="n"/>
      <c r="G198" s="6" t="n"/>
      <c r="H198" s="6" t="n"/>
      <c r="I198" s="6" t="n"/>
      <c r="J198" s="6" t="n"/>
      <c r="K198" s="6" t="n"/>
      <c r="L198" s="6" t="n"/>
      <c r="M198" s="6" t="n"/>
      <c r="N198" s="6" t="n"/>
      <c r="O198" s="6" t="n"/>
      <c r="P198" s="6" t="n"/>
      <c r="Q198" s="6" t="n"/>
      <c r="R198" s="6" t="n"/>
      <c r="S198" s="6" t="n"/>
      <c r="T198" s="6" t="n"/>
    </row>
    <row r="199">
      <c r="B199" s="119" t="str">
        <f>Inputs!$B$51</f>
        <v>Payment certification</v>
      </c>
      <c r="C199" s="123" t="str">
        <f>Inputs!$C$51</f>
        <v>Purchases</v>
      </c>
      <c r="D199" s="76">
        <f>SUMIFS(Ledger[Amount],Ledger[Cost line],$B199)</f>
        <v>11200</v>
      </c>
      <c r="E199" s="6" t="n"/>
      <c r="F199" s="6" t="n"/>
      <c r="G199" s="6" t="n"/>
      <c r="H199" s="6" t="n"/>
      <c r="I199" s="6" t="n"/>
      <c r="J199" s="6" t="n"/>
      <c r="K199" s="6" t="n"/>
      <c r="L199" s="6" t="n"/>
      <c r="M199" s="6" t="n"/>
      <c r="N199" s="6" t="n"/>
      <c r="O199" s="6" t="n"/>
      <c r="P199" s="6" t="n"/>
      <c r="Q199" s="6" t="n"/>
      <c r="R199" s="6" t="n"/>
      <c r="S199" s="6" t="n"/>
      <c r="T199" s="6" t="n"/>
    </row>
    <row r="200">
      <c r="B200" s="119" t="str">
        <f>Inputs!$B$52</f>
        <v>Test devices</v>
      </c>
      <c r="C200" s="123" t="str">
        <f>Inputs!$C$52</f>
        <v>Purchases</v>
      </c>
      <c r="D200" s="76">
        <f>SUMIFS(Ledger[Amount],Ledger[Cost line],$B200)</f>
        <v>17240</v>
      </c>
      <c r="E200" s="6" t="n"/>
      <c r="F200" s="6" t="n"/>
      <c r="G200" s="6" t="n"/>
      <c r="H200" s="6" t="n"/>
      <c r="I200" s="6" t="n"/>
      <c r="J200" s="6" t="n"/>
      <c r="K200" s="6" t="n"/>
      <c r="L200" s="6" t="n"/>
      <c r="M200" s="6" t="n"/>
      <c r="N200" s="6" t="n"/>
      <c r="O200" s="6" t="n"/>
      <c r="P200" s="6" t="n"/>
      <c r="Q200" s="6" t="n"/>
      <c r="R200" s="6" t="n"/>
      <c r="S200" s="6" t="n"/>
      <c r="T200" s="6" t="n"/>
    </row>
    <row r="201">
      <c r="B201" s="119" t="str">
        <f>Inputs!$B$53</f>
        <v>Launch content</v>
      </c>
      <c r="C201" s="123" t="str">
        <f>Inputs!$C$53</f>
        <v>Purchases</v>
      </c>
      <c r="D201" s="76">
        <f>SUMIFS(Ledger[Amount],Ledger[Cost line],$B201)</f>
        <v>0</v>
      </c>
      <c r="E201" s="6" t="n"/>
      <c r="F201" s="6" t="n"/>
      <c r="G201" s="6" t="n"/>
      <c r="H201" s="6" t="n"/>
      <c r="I201" s="6" t="n"/>
      <c r="J201" s="6" t="n"/>
      <c r="K201" s="6" t="n"/>
      <c r="L201" s="6" t="n"/>
      <c r="M201" s="6" t="n"/>
      <c r="N201" s="6" t="n"/>
      <c r="O201" s="6" t="n"/>
      <c r="P201" s="6" t="n"/>
      <c r="Q201" s="6" t="n"/>
      <c r="R201" s="6" t="n"/>
      <c r="S201" s="6" t="n"/>
      <c r="T201" s="6" t="n"/>
    </row>
    <row r="202">
      <c r="B202" s="119" t="str">
        <f>Inputs!$B$54</f>
        <v>Cloud hosting</v>
      </c>
      <c r="C202" s="123" t="str">
        <f>Inputs!$C$54</f>
        <v>Platform</v>
      </c>
      <c r="D202" s="76">
        <f>SUMIFS(Ledger[Amount],Ledger[Cost line],$B202)</f>
        <v>25700</v>
      </c>
      <c r="E202" s="6" t="n"/>
      <c r="F202" s="6" t="n"/>
      <c r="G202" s="6" t="n"/>
      <c r="H202" s="6" t="n"/>
      <c r="I202" s="6" t="n"/>
      <c r="J202" s="6" t="n"/>
      <c r="K202" s="6" t="n"/>
      <c r="L202" s="6" t="n"/>
      <c r="M202" s="6" t="n"/>
      <c r="N202" s="6" t="n"/>
      <c r="O202" s="6" t="n"/>
      <c r="P202" s="6" t="n"/>
      <c r="Q202" s="6" t="n"/>
      <c r="R202" s="6" t="n"/>
      <c r="S202" s="6" t="n"/>
      <c r="T202" s="6" t="n"/>
    </row>
    <row r="203">
      <c r="B203" s="119" t="str">
        <f>Inputs!$B$55</f>
        <v>Software &amp; tools</v>
      </c>
      <c r="C203" s="123" t="str">
        <f>Inputs!$C$55</f>
        <v>Platform</v>
      </c>
      <c r="D203" s="76">
        <f>SUMIFS(Ledger[Amount],Ledger[Cost line],$B203)</f>
        <v>23770</v>
      </c>
      <c r="E203" s="6" t="n"/>
      <c r="F203" s="6" t="n"/>
      <c r="G203" s="6" t="n"/>
      <c r="H203" s="6" t="n"/>
      <c r="I203" s="6" t="n"/>
      <c r="J203" s="6" t="n"/>
      <c r="K203" s="6" t="n"/>
      <c r="L203" s="6" t="n"/>
      <c r="M203" s="6" t="n"/>
      <c r="N203" s="6" t="n"/>
      <c r="O203" s="6" t="n"/>
      <c r="P203" s="6" t="n"/>
      <c r="Q203" s="6" t="n"/>
      <c r="R203" s="6" t="n"/>
      <c r="S203" s="6" t="n"/>
      <c r="T203" s="6" t="n"/>
    </row>
    <row r="204">
      <c r="B204" s="119" t="str">
        <f>Inputs!$B$56</f>
        <v>Third-party services</v>
      </c>
      <c r="C204" s="123" t="str">
        <f>Inputs!$C$56</f>
        <v>Platform</v>
      </c>
      <c r="D204" s="76">
        <f>SUMIFS(Ledger[Amount],Ledger[Cost line],$B204)</f>
        <v>6230</v>
      </c>
      <c r="E204" s="6" t="n"/>
      <c r="F204" s="6" t="n"/>
      <c r="G204" s="6" t="n"/>
      <c r="H204" s="6" t="n"/>
      <c r="I204" s="6" t="n"/>
      <c r="J204" s="6" t="n"/>
      <c r="K204" s="6" t="n"/>
      <c r="L204" s="6" t="n"/>
      <c r="M204" s="6" t="n"/>
      <c r="N204" s="6" t="n"/>
      <c r="O204" s="6" t="n"/>
      <c r="P204" s="6" t="n"/>
      <c r="Q204" s="6" t="n"/>
      <c r="R204" s="6" t="n"/>
      <c r="S204" s="6" t="n"/>
      <c r="T204" s="6" t="n"/>
    </row>
    <row r="205">
      <c r="B205" s="119" t="str">
        <f>Inputs!$B$57</f>
        <v>Approved changes</v>
      </c>
      <c r="C205" s="123" t="str">
        <f>Inputs!$C$57</f>
        <v>Changes</v>
      </c>
      <c r="D205" s="76">
        <f>SUMIFS(Ledger[Amount],Ledger[Cost line],$B205)</f>
        <v>0</v>
      </c>
      <c r="E205" s="6" t="n"/>
      <c r="F205" s="6" t="n"/>
      <c r="G205" s="6" t="n"/>
      <c r="H205" s="6" t="n"/>
      <c r="I205" s="6" t="n"/>
      <c r="J205" s="6" t="n"/>
      <c r="K205" s="6" t="n"/>
      <c r="L205" s="6" t="n"/>
      <c r="M205" s="6" t="n"/>
      <c r="N205" s="6" t="n"/>
      <c r="O205" s="6" t="n"/>
      <c r="P205" s="6" t="n"/>
      <c r="Q205" s="6" t="n"/>
      <c r="R205" s="6" t="n"/>
      <c r="S205" s="6" t="n"/>
      <c r="T205" s="6" t="n"/>
    </row>
    <row r="206">
      <c r="B206" s="60" t="inlineStr">
        <is>
          <t>Every booking</t>
        </is>
      </c>
      <c r="C206" s="75" t="n"/>
      <c r="D206" s="61">
        <f>SUM(D189:D205)</f>
        <v>826535</v>
      </c>
      <c r="E206" s="75" t="n"/>
      <c r="F206" s="75" t="n"/>
      <c r="G206" s="75" t="n"/>
      <c r="H206" s="75" t="n"/>
      <c r="I206" s="75" t="n"/>
      <c r="J206" s="75" t="n"/>
      <c r="K206" s="75" t="n"/>
      <c r="L206" s="75" t="n"/>
      <c r="M206" s="75" t="n"/>
      <c r="N206" s="75" t="n"/>
      <c r="O206" s="75" t="n"/>
      <c r="P206" s="75" t="n"/>
      <c r="Q206" s="75" t="n"/>
      <c r="R206" s="75" t="n"/>
      <c r="S206" s="75" t="n"/>
      <c r="T206" s="75" t="n"/>
    </row>
    <row r="207"/>
    <row r="208"/>
  </sheetData>
  <sheetProtection selectLockedCells="0" selectUnlockedCells="0" sheet="1" objects="0" insertRows="1" insertHyperlinks="1" autoFilter="1" scenarios="0" formatColumns="0" deleteColumns="1" insertColumns="1" pivotTables="1" deleteRows="1" formatCells="1" formatRows="0" sort="1"/>
  <conditionalFormatting sqref="F4:T6">
    <cfRule type="expression" priority="1" dxfId="7" stopIfTrue="0">
      <formula>F$6="Actual"</formula>
    </cfRule>
  </conditionalFormatting>
  <conditionalFormatting sqref="F8:T12">
    <cfRule type="expression" priority="2" dxfId="8" stopIfTrue="0">
      <formula>F$6="Actual"</formula>
    </cfRule>
  </conditionalFormatting>
  <conditionalFormatting sqref="F16:T23">
    <cfRule type="expression" priority="3" dxfId="8" stopIfTrue="0">
      <formula>F$6="Actual"</formula>
    </cfRule>
  </conditionalFormatting>
  <conditionalFormatting sqref="F24:T24">
    <cfRule type="expression" priority="4" dxfId="8" stopIfTrue="0">
      <formula>F$6="Actual"</formula>
    </cfRule>
  </conditionalFormatting>
  <conditionalFormatting sqref="F28:T35">
    <cfRule type="expression" priority="5" dxfId="8" stopIfTrue="0">
      <formula>F$6="Actual"</formula>
    </cfRule>
  </conditionalFormatting>
  <conditionalFormatting sqref="F36:T36">
    <cfRule type="expression" priority="6" dxfId="8" stopIfTrue="0">
      <formula>F$6="Actual"</formula>
    </cfRule>
  </conditionalFormatting>
  <conditionalFormatting sqref="F40:T47">
    <cfRule type="expression" priority="7" dxfId="8" stopIfTrue="0">
      <formula>F$6="Actual"</formula>
    </cfRule>
  </conditionalFormatting>
  <conditionalFormatting sqref="F48:T48">
    <cfRule type="expression" priority="8" dxfId="8" stopIfTrue="0">
      <formula>F$6="Actual"</formula>
    </cfRule>
  </conditionalFormatting>
  <conditionalFormatting sqref="F52:T59">
    <cfRule type="expression" priority="9" dxfId="8" stopIfTrue="0">
      <formula>F$6="Actual"</formula>
    </cfRule>
  </conditionalFormatting>
  <conditionalFormatting sqref="F60:T60">
    <cfRule type="expression" priority="10" dxfId="8" stopIfTrue="0">
      <formula>F$6="Actual"</formula>
    </cfRule>
  </conditionalFormatting>
  <conditionalFormatting sqref="F64:T66">
    <cfRule type="expression" priority="11" dxfId="8" stopIfTrue="0">
      <formula>F$6="Actual"</formula>
    </cfRule>
  </conditionalFormatting>
  <conditionalFormatting sqref="F67:T67">
    <cfRule type="expression" priority="12" dxfId="8" stopIfTrue="0">
      <formula>F$6="Actual"</formula>
    </cfRule>
  </conditionalFormatting>
  <conditionalFormatting sqref="F70:T72">
    <cfRule type="expression" priority="13" dxfId="8" stopIfTrue="0">
      <formula>F$6="Actual"</formula>
    </cfRule>
  </conditionalFormatting>
  <conditionalFormatting sqref="F73:T73">
    <cfRule type="expression" priority="14" dxfId="8" stopIfTrue="0">
      <formula>F$6="Actual"</formula>
    </cfRule>
  </conditionalFormatting>
  <conditionalFormatting sqref="F77:T81">
    <cfRule type="expression" priority="15" dxfId="8" stopIfTrue="0">
      <formula>F$6="Actual"</formula>
    </cfRule>
  </conditionalFormatting>
  <conditionalFormatting sqref="F82:T82">
    <cfRule type="expression" priority="16" dxfId="8" stopIfTrue="0">
      <formula>F$6="Actual"</formula>
    </cfRule>
  </conditionalFormatting>
  <conditionalFormatting sqref="F86:T90">
    <cfRule type="expression" priority="17" dxfId="8" stopIfTrue="0">
      <formula>F$6="Actual"</formula>
    </cfRule>
  </conditionalFormatting>
  <conditionalFormatting sqref="F91:T91">
    <cfRule type="expression" priority="18" dxfId="8" stopIfTrue="0">
      <formula>F$6="Actual"</formula>
    </cfRule>
  </conditionalFormatting>
  <conditionalFormatting sqref="F95:T96">
    <cfRule type="expression" priority="19" dxfId="8" stopIfTrue="0">
      <formula>F$6="Actual"</formula>
    </cfRule>
  </conditionalFormatting>
  <conditionalFormatting sqref="F97:T97">
    <cfRule type="expression" priority="20" dxfId="8" stopIfTrue="0">
      <formula>F$6="Actual"</formula>
    </cfRule>
  </conditionalFormatting>
  <conditionalFormatting sqref="F101:T117">
    <cfRule type="expression" priority="21" dxfId="8" stopIfTrue="0">
      <formula>F$6="Actual"</formula>
    </cfRule>
  </conditionalFormatting>
  <conditionalFormatting sqref="F118:T118">
    <cfRule type="expression" priority="22" dxfId="8" stopIfTrue="0">
      <formula>F$6="Actual"</formula>
    </cfRule>
  </conditionalFormatting>
  <conditionalFormatting sqref="F122:T138">
    <cfRule type="expression" priority="23" dxfId="8" stopIfTrue="0">
      <formula>F$6="Actual"</formula>
    </cfRule>
  </conditionalFormatting>
  <conditionalFormatting sqref="F139:T139">
    <cfRule type="expression" priority="24" dxfId="8" stopIfTrue="0">
      <formula>F$6="Actual"</formula>
    </cfRule>
  </conditionalFormatting>
  <conditionalFormatting sqref="F143:T159">
    <cfRule type="expression" priority="25" dxfId="8" stopIfTrue="0">
      <formula>F$6="Actual"</formula>
    </cfRule>
  </conditionalFormatting>
  <conditionalFormatting sqref="F160:T160">
    <cfRule type="expression" priority="26" dxfId="8" stopIfTrue="0">
      <formula>F$6="Actual"</formula>
    </cfRule>
  </conditionalFormatting>
  <conditionalFormatting sqref="F164:T180">
    <cfRule type="expression" priority="27" dxfId="8" stopIfTrue="0">
      <formula>F$6="Actual"</formula>
    </cfRule>
  </conditionalFormatting>
  <conditionalFormatting sqref="F181:T181">
    <cfRule type="expression" priority="28" dxfId="8" stopIfTrue="0">
      <formula>F$6="Actual"</formula>
    </cfRule>
  </conditionalFormatting>
  <conditionalFormatting sqref="F184:T185">
    <cfRule type="expression" priority="29" dxfId="8" stopIfTrue="0">
      <formula>F$6="Actual"</formula>
    </cfRule>
  </conditionalFormatting>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xl/worksheets/sheet9.xml><?xml version="1.0" encoding="utf-8"?>
<worksheet xmlns="http://schemas.openxmlformats.org/spreadsheetml/2006/main">
  <sheetPr>
    <tabColor rgb="001B7A3A"/>
    <outlinePr summaryBelow="1" summaryRight="1"/>
    <pageSetUpPr fitToPage="1"/>
  </sheetPr>
  <dimension ref="B2:G21"/>
  <sheetViews>
    <sheetView showGridLines="0" zoomScale="100" workbookViewId="0">
      <selection activeCell="A1" sqref="A1"/>
    </sheetView>
  </sheetViews>
  <sheetFormatPr baseColWidth="8" defaultRowHeight="15" customHeight="1"/>
  <cols>
    <col width="2.5" customWidth="1" min="1" max="1"/>
    <col width="5" customWidth="1" min="2" max="2"/>
    <col width="58" customWidth="1" min="3" max="3"/>
    <col width="14" customWidth="1" min="4" max="4"/>
    <col width="10" customWidth="1" min="5" max="5"/>
    <col width="2.5" customWidth="1" min="6" max="6"/>
    <col width="70" customWidth="1" min="7" max="7"/>
  </cols>
  <sheetData>
    <row r="1" ht="10" customHeight="1"/>
    <row r="2" ht="30" customHeight="1">
      <c r="B2" s="49" t="inlineStr">
        <is>
          <t>Checks</t>
        </is>
      </c>
    </row>
    <row r="3" ht="18" customHeight="1">
      <c r="B3" s="24" t="inlineStr">
        <is>
          <t>Tests the model runs on itself. Each result is OK or FAIL; the count shows on the Cover and the Dashboard.</t>
        </is>
      </c>
    </row>
    <row r="5" ht="22" customHeight="1">
      <c r="B5" s="27" t="inlineStr">
        <is>
          <t>Result</t>
        </is>
      </c>
      <c r="C5" s="33" t="str">
        <f>IF(COUNTIF(E8:E21,"FAIL")=0,"All "&amp;ROWS(E8:E21)&amp;" checks pass",COUNTIF(E8:E21,"FAIL")&amp;" of "&amp;ROWS(E8:E21)&amp;" checks fail")</f>
        <v>All 14 checks pass</v>
      </c>
      <c r="D5" s="125">
        <f>COUNTIF(E8:E21,"FAIL")</f>
        <v>0</v>
      </c>
    </row>
    <row r="7" ht="20" customHeight="1">
      <c r="B7" s="53" t="inlineStr">
        <is>
          <t>#</t>
        </is>
      </c>
      <c r="C7" s="53" t="inlineStr">
        <is>
          <t>Check</t>
        </is>
      </c>
      <c r="D7" s="54" t="inlineStr">
        <is>
          <t>Value</t>
        </is>
      </c>
      <c r="E7" s="126" t="inlineStr">
        <is>
          <t>Result</t>
        </is>
      </c>
      <c r="F7" s="53" t="n"/>
      <c r="G7" s="53" t="inlineStr">
        <is>
          <t>If it fails</t>
        </is>
      </c>
    </row>
    <row r="8" ht="20" customHeight="1">
      <c r="B8" s="127" t="n">
        <v>1</v>
      </c>
      <c r="C8" s="13" t="inlineStr">
        <is>
          <t>Every actual has a cost line from the list</t>
        </is>
      </c>
      <c r="D8" s="128">
        <f>ROUND(SUM(Ledger[Amount])-Calc!D206,2)</f>
        <v>0</v>
      </c>
      <c r="E8" s="129" t="str">
        <f>IF(D8=0,"OK","FAIL")</f>
        <v>OK</v>
      </c>
      <c r="F8" s="6" t="n"/>
      <c r="G8" s="14" t="inlineStr">
        <is>
          <t>A row on Actuals uses a cost line that isn't on Inputs. Pick one from the list.</t>
        </is>
      </c>
    </row>
    <row r="9" ht="20" customHeight="1">
      <c r="B9" s="127" t="n">
        <v>2</v>
      </c>
      <c r="C9" s="13" t="inlineStr">
        <is>
          <t>No actuals dated before the project started</t>
        </is>
      </c>
      <c r="D9" s="128">
        <f>COUNTIFS(Ledger[Period],"&lt;"&amp;StartMonth)</f>
        <v>0</v>
      </c>
      <c r="E9" s="129" t="str">
        <f>IF(D9=0,"OK","FAIL")</f>
        <v>OK</v>
      </c>
      <c r="F9" s="6" t="n"/>
      <c r="G9" s="14" t="inlineStr">
        <is>
          <t>Move the row to a project month or delete it.</t>
        </is>
      </c>
    </row>
    <row r="10" ht="20" customHeight="1">
      <c r="B10" s="127" t="n">
        <v>3</v>
      </c>
      <c r="C10" s="13" t="inlineStr">
        <is>
          <t>No actuals after the last closed month</t>
        </is>
      </c>
      <c r="D10" s="128">
        <f>COUNTIFS(Ledger[Period],"&gt;"&amp;ActualsThrough)</f>
        <v>0</v>
      </c>
      <c r="E10" s="129" t="str">
        <f>IF(D10=0,"OK","FAIL")</f>
        <v>OK</v>
      </c>
      <c r="F10" s="6" t="n"/>
      <c r="G10" s="14" t="inlineStr">
        <is>
          <t>Rows after Actuals through are ignored. Move Actuals through, or wait for finance to close that month.</t>
        </is>
      </c>
    </row>
    <row r="11" ht="20" customHeight="1">
      <c r="B11" s="127" t="n">
        <v>4</v>
      </c>
      <c r="C11" s="13" t="inlineStr">
        <is>
          <t>Every closed month has actuals</t>
        </is>
      </c>
      <c r="D11" s="128">
        <f>SUMPRODUCT((Calc!F139:T139=0)*Closed)</f>
        <v>0</v>
      </c>
      <c r="E11" s="129" t="str">
        <f>IF(D11=0,"OK","FAIL")</f>
        <v>OK</v>
      </c>
      <c r="F11" s="6" t="n"/>
      <c r="G11" s="14" t="inlineStr">
        <is>
          <t>A closed month has no actuals: paste its export on Actuals, or move Actuals through back.</t>
        </is>
      </c>
    </row>
    <row r="12" ht="20" customHeight="1">
      <c r="B12" s="127" t="n">
        <v>5</v>
      </c>
      <c r="C12" s="13" t="inlineStr">
        <is>
          <t>Actuals through falls inside the timeline</t>
        </is>
      </c>
      <c r="D12" s="128">
        <f>IF(AND(ActualsThrough&gt;=StartMonth,ActualsThrough&lt;=Calc!T5),0,1)</f>
        <v>0</v>
      </c>
      <c r="E12" s="129" t="str">
        <f>IF(D12=0,"OK","FAIL")</f>
        <v>OK</v>
      </c>
      <c r="F12" s="6" t="n"/>
      <c r="G12" s="14" t="inlineStr">
        <is>
          <t>Pick a month from the list on Inputs.</t>
        </is>
      </c>
    </row>
    <row r="13" ht="20" customHeight="1">
      <c r="B13" s="127" t="n">
        <v>6</v>
      </c>
      <c r="C13" s="13" t="inlineStr">
        <is>
          <t>The baseline is still the approved plan</t>
        </is>
      </c>
      <c r="D13" s="128">
        <f>ROUND(BaseBudget-BaselineAtApproval,0)</f>
        <v>0</v>
      </c>
      <c r="E13" s="129" t="str">
        <f>IF(D13=0,"OK","FAIL")</f>
        <v>OK</v>
      </c>
      <c r="F13" s="6" t="n"/>
      <c r="G13" s="14" t="inlineStr">
        <is>
          <t>A baseline input changed. Put the change in a current column instead, or record a re-baseline.</t>
        </is>
      </c>
    </row>
    <row r="14" ht="20" customHeight="1">
      <c r="B14" s="127" t="n">
        <v>7</v>
      </c>
      <c r="C14" s="13" t="inlineStr">
        <is>
          <t>The forecast schedule fits the timeline</t>
        </is>
      </c>
      <c r="D14" s="128">
        <f>MAX(0,FcEnd-15)</f>
        <v>0</v>
      </c>
      <c r="E14" s="129" t="str">
        <f>IF(D14=0,"OK","FAIL")</f>
        <v>OK</v>
      </c>
      <c r="F14" s="6" t="n"/>
      <c r="G14" s="14" t="inlineStr">
        <is>
          <t>The phases run past month 15. The model covers 15 months: shorten the phases or add months.</t>
        </is>
      </c>
    </row>
    <row r="15" ht="20" customHeight="1">
      <c r="B15" s="127" t="n">
        <v>8</v>
      </c>
      <c r="C15" s="13" t="inlineStr">
        <is>
          <t>Every purchase fits inside its phase</t>
        </is>
      </c>
      <c r="D15" s="128">
        <f>COUNTIF(Buy_Fits,"No")</f>
        <v>0</v>
      </c>
      <c r="E15" s="129" t="str">
        <f>IF(D15=0,"OK","FAIL")</f>
        <v>OK</v>
      </c>
      <c r="F15" s="6" t="n"/>
      <c r="G15" s="14" t="inlineStr">
        <is>
          <t>A purchase's month of phase is beyond the phase's length. Change the month or the phase.</t>
        </is>
      </c>
    </row>
    <row r="16" ht="20" customHeight="1">
      <c r="B16" s="127" t="n">
        <v>9</v>
      </c>
      <c r="C16" s="13" t="inlineStr">
        <is>
          <t>Unpaid purchases are not in closed months</t>
        </is>
      </c>
      <c r="D16" s="128">
        <f>COUNTIFS(Buy_FcMonth,"&lt;="&amp;ActualsThrough,Buy_Status,"&lt;&gt;Paid",Buy_Phase,"&lt;&gt;")</f>
        <v>0</v>
      </c>
      <c r="E16" s="129" t="str">
        <f>IF(D16=0,"OK","FAIL")</f>
        <v>OK</v>
      </c>
      <c r="F16" s="6" t="n"/>
      <c r="G16" s="14" t="inlineStr">
        <is>
          <t>An unpaid item falls in a closed month, so the forecast drops it. Mark it Paid or move it.</t>
        </is>
      </c>
    </row>
    <row r="17" ht="20" customHeight="1">
      <c r="B17" s="127" t="n">
        <v>10</v>
      </c>
      <c r="C17" s="13" t="inlineStr">
        <is>
          <t>Changes in the forecast are inside the timeline</t>
        </is>
      </c>
      <c r="D17" s="128">
        <f>SUMPRODUCT((CR_InForecast="Yes")*((CR_Month&lt;StartMonth)+(CR_Month&gt;Calc!T5)))</f>
        <v>0</v>
      </c>
      <c r="E17" s="129" t="str">
        <f>IF(D17=0,"OK","FAIL")</f>
        <v>OK</v>
      </c>
      <c r="F17" s="6" t="n"/>
      <c r="G17" s="14" t="inlineStr">
        <is>
          <t>A change request in the forecast has a month outside the timeline.</t>
        </is>
      </c>
    </row>
    <row r="18" ht="20" customHeight="1">
      <c r="B18" s="127" t="n">
        <v>11</v>
      </c>
      <c r="C18" s="13" t="inlineStr">
        <is>
          <t>No negative staffing or amounts in the plan</t>
        </is>
      </c>
      <c r="D18" s="128">
        <f>COUNTIF(Inputs!$C$75:$M$82,"&lt;0")+COUNTIF(Inputs!$C$89:$M$91,"&lt;0")+COUNTIF(Buy_Base,"&lt;0")+COUNTIF(Buy_Fc,"&lt;0")</f>
        <v>0</v>
      </c>
      <c r="E18" s="129" t="str">
        <f>IF(D18=0,"OK","FAIL")</f>
        <v>OK</v>
      </c>
      <c r="F18" s="6" t="n"/>
      <c r="G18" s="14" t="inlineStr">
        <is>
          <t>Staffing, run-rates and purchase amounts can't be negative.</t>
        </is>
      </c>
    </row>
    <row r="19" ht="20" customHeight="1">
      <c r="B19" s="127" t="n">
        <v>12</v>
      </c>
      <c r="C19" s="13" t="inlineStr">
        <is>
          <t>Report total = sum of all monthly lines</t>
        </is>
      </c>
      <c r="D19" s="128">
        <f>ROUND(Forecast-Calc!D181,2)</f>
        <v>0</v>
      </c>
      <c r="E19" s="129" t="str">
        <f>IF(D19=0,"OK","FAIL")</f>
        <v>OK</v>
      </c>
      <c r="F19" s="6" t="n"/>
      <c r="G19" s="14" t="inlineStr">
        <is>
          <t>The Report and Calc disagree: a formula was overwritten.</t>
        </is>
      </c>
    </row>
    <row r="20" ht="20" customHeight="1">
      <c r="B20" s="127" t="n">
        <v>13</v>
      </c>
      <c r="C20" s="13" t="inlineStr">
        <is>
          <t>Monthly view total = Report total</t>
        </is>
      </c>
      <c r="D20" s="128">
        <f>ROUND(Monthly!D20-Forecast,2)+ROUND(Monthly!D13-BaseBudget,2)</f>
        <v>0</v>
      </c>
      <c r="E20" s="129" t="str">
        <f>IF(D20=0,"OK","FAIL")</f>
        <v>OK</v>
      </c>
      <c r="F20" s="6" t="n"/>
      <c r="G20" s="14" t="inlineStr">
        <is>
          <t>The Monthly view and the Report disagree: a formula was overwritten.</t>
        </is>
      </c>
    </row>
    <row r="21" ht="20" customHeight="1">
      <c r="B21" s="127" t="n">
        <v>14</v>
      </c>
      <c r="C21" s="13" t="inlineStr">
        <is>
          <t>Phase budgets add up to the base budget</t>
        </is>
      </c>
      <c r="D21" s="128">
        <f>ROUND(PhaseBudgetTotal-BaseBudget,2)</f>
        <v>0</v>
      </c>
      <c r="E21" s="129" t="str">
        <f>IF(D21=0,"OK","FAIL")</f>
        <v>OK</v>
      </c>
      <c r="F21" s="6" t="n"/>
      <c r="G21" s="14" t="inlineStr">
        <is>
          <t>Some baseline cost falls outside every phase.</t>
        </is>
      </c>
    </row>
  </sheetData>
  <sheetProtection selectLockedCells="0" selectUnlockedCells="0" sheet="1" objects="0" insertRows="1" insertHyperlinks="1" autoFilter="1" scenarios="0" formatColumns="0" deleteColumns="1" insertColumns="1" pivotTables="1" deleteRows="1" formatCells="1" formatRows="0" sort="1"/>
  <conditionalFormatting sqref="E8:E21">
    <cfRule type="expression" priority="1" dxfId="3" stopIfTrue="0">
      <formula>E8="OK"</formula>
    </cfRule>
    <cfRule type="expression" priority="2" dxfId="5" stopIfTrue="0">
      <formula>E8="FAIL"</formula>
    </cfRule>
  </conditionalFormatting>
  <conditionalFormatting sqref="C5">
    <cfRule type="expression" priority="3" dxfId="0" stopIfTrue="0">
      <formula>$D$5&gt;0</formula>
    </cfRule>
    <cfRule type="expression" priority="4" dxfId="1" stopIfTrue="0">
      <formula>$D$5=0</formula>
    </cfRule>
  </conditionalFormatting>
  <printOptions horizontalCentered="1"/>
  <pageMargins left="0.45" right="0.45" top="0.6" bottom="0.6" header="0.5" footer="0.5"/>
  <pageSetup orientation="landscape" paperSize="9" fitToHeight="0" fitToWidth="1"/>
  <headerFooter>
    <oddHeader>&amp;L&amp;8&amp;K5F6B78Tidewell Coffee Co. · Tidewell App 2.0&amp;R&amp;8&amp;K5F6B78&amp;A</oddHeader>
    <oddFooter>&amp;L&amp;8&amp;K5F6B78Example workbook: everything in it is made up&amp;R&amp;8&amp;K5F6B78Page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2026-10-18T08:31:28Z</dcterms:created>
  <dcterms:modified xmlns:dcterms="http://purl.org/dc/terms/" xmlns:xsi="http://www.w3.org/2001/XMLSchema-instance" xsi:type="dcterms:W3CDTF">2026-10-18T08:31:29Z</dcterms:modified>
</cp:coreProperties>
</file>